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moor\Downloads\Tesla_OBF_Interactive_Website (10)\interactive_site\deliverables\"/>
    </mc:Choice>
  </mc:AlternateContent>
  <xr:revisionPtr revIDLastSave="0" documentId="13_ncr:1_{AD442617-2790-4BD5-87A2-F61BD78DEB7C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00_Cover" sheetId="1" r:id="rId1"/>
    <sheet name="01_Source_Data" sheetId="2" r:id="rId2"/>
    <sheet name="02_Assumptions_Audit" sheetId="3" r:id="rId3"/>
    <sheet name="03_S1_Step1_IS" sheetId="4" r:id="rId4"/>
    <sheet name="04_S1_Step2_Vertical" sheetId="5" r:id="rId5"/>
    <sheet name="05_S1_Step3_CostClass" sheetId="6" r:id="rId6"/>
    <sheet name="06_S1_Step4_HighLow" sheetId="7" r:id="rId7"/>
    <sheet name="07_S1_Step5_UnitCost" sheetId="8" r:id="rId8"/>
    <sheet name="08_S1_Step6_COGM" sheetId="9" r:id="rId9"/>
    <sheet name="09_S1_Step7_COGS" sheetId="10" r:id="rId10"/>
    <sheet name="10_S1_Step8_AbsVar" sheetId="11" r:id="rId11"/>
    <sheet name="11_S1_Step9_Contribution" sheetId="12" r:id="rId12"/>
    <sheet name="12_S2_Step1_BEP" sheetId="13" r:id="rId13"/>
    <sheet name="13_S2_Step2_MoS" sheetId="14" r:id="rId14"/>
    <sheet name="14_S2_Step3_DOL" sheetId="15" r:id="rId15"/>
    <sheet name="15_S2_Step4_WACM" sheetId="16" r:id="rId16"/>
    <sheet name="16_S2_Step5_BudgetTypes" sheetId="17" r:id="rId17"/>
    <sheet name="17_S2_Step6_BudgetSeq" sheetId="18" r:id="rId18"/>
    <sheet name="18_S2_Step7_Assumptions" sheetId="19" r:id="rId19"/>
    <sheet name="19_Cross_Step_Checks" sheetId="20" r:id="rId20"/>
    <sheet name="20_Workbook_Audit" sheetId="21" r:id="rId21"/>
    <sheet name="21_References" sheetId="22" r:id="rId22"/>
    <sheet name="22_S3_Assumptions" sheetId="23" r:id="rId23"/>
    <sheet name="23_S3_Step1_Sales" sheetId="24" r:id="rId24"/>
    <sheet name="24_S3_Step2_Production" sheetId="25" r:id="rId25"/>
    <sheet name="25_S3_Step3_Materials" sheetId="26" r:id="rId26"/>
    <sheet name="26_S3_Step4_Labour" sheetId="27" r:id="rId27"/>
    <sheet name="27_S3_Step5_MOH" sheetId="28" r:id="rId28"/>
    <sheet name="28_S3_Step6_COGS" sheetId="29" r:id="rId29"/>
    <sheet name="29_S3_Step7_PnL" sheetId="30" r:id="rId30"/>
    <sheet name="30_S3_Step8_Variance" sheetId="31" r:id="rId31"/>
    <sheet name="31_S3_Checks" sheetId="32" r:id="rId32"/>
  </sheets>
  <calcPr calcId="181029" forceFullCalc="1"/>
</workbook>
</file>

<file path=xl/calcChain.xml><?xml version="1.0" encoding="utf-8"?>
<calcChain xmlns="http://schemas.openxmlformats.org/spreadsheetml/2006/main">
  <c r="D25" i="31" l="1"/>
  <c r="D24" i="31"/>
  <c r="B5" i="31"/>
  <c r="E10" i="27"/>
  <c r="D10" i="27"/>
  <c r="C10" i="27"/>
  <c r="B10" i="27"/>
  <c r="F6" i="27"/>
  <c r="E6" i="27"/>
  <c r="D6" i="27"/>
  <c r="C6" i="27"/>
  <c r="B6" i="27"/>
  <c r="F6" i="26"/>
  <c r="E6" i="26"/>
  <c r="D6" i="26"/>
  <c r="C6" i="26"/>
  <c r="B6" i="26"/>
  <c r="E5" i="24"/>
  <c r="D5" i="24"/>
  <c r="D6" i="24" s="1"/>
  <c r="C5" i="24"/>
  <c r="C6" i="24" s="1"/>
  <c r="B5" i="24"/>
  <c r="B6" i="24" s="1"/>
  <c r="B5" i="30" s="1"/>
  <c r="D30" i="23"/>
  <c r="E7" i="25" s="1"/>
  <c r="D29" i="23"/>
  <c r="D21" i="23"/>
  <c r="D20" i="23"/>
  <c r="D19" i="23"/>
  <c r="D8" i="23"/>
  <c r="D7" i="23"/>
  <c r="D6" i="23"/>
  <c r="D5" i="23"/>
  <c r="D12" i="23" s="1"/>
  <c r="F6" i="30" s="1"/>
  <c r="B20" i="19"/>
  <c r="B19" i="19"/>
  <c r="B16" i="19"/>
  <c r="C24" i="19" s="1"/>
  <c r="C9" i="20" s="1"/>
  <c r="B15" i="19"/>
  <c r="C25" i="19" s="1"/>
  <c r="E11" i="19"/>
  <c r="D11" i="19"/>
  <c r="C11" i="19"/>
  <c r="E10" i="19"/>
  <c r="D10" i="19"/>
  <c r="C10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C8" i="16"/>
  <c r="B8" i="16"/>
  <c r="A8" i="16"/>
  <c r="D7" i="16"/>
  <c r="C7" i="16"/>
  <c r="B7" i="16"/>
  <c r="A7" i="16"/>
  <c r="D6" i="16"/>
  <c r="C6" i="16"/>
  <c r="B6" i="16"/>
  <c r="A6" i="16"/>
  <c r="D5" i="16"/>
  <c r="C5" i="16"/>
  <c r="B5" i="16"/>
  <c r="A5" i="16"/>
  <c r="B17" i="15"/>
  <c r="A8" i="15"/>
  <c r="C7" i="15"/>
  <c r="B7" i="15"/>
  <c r="D7" i="15" s="1"/>
  <c r="A7" i="15"/>
  <c r="C6" i="15"/>
  <c r="B6" i="15"/>
  <c r="D6" i="15" s="1"/>
  <c r="A6" i="15"/>
  <c r="C5" i="15"/>
  <c r="B5" i="15"/>
  <c r="A5" i="15"/>
  <c r="C15" i="14"/>
  <c r="C14" i="14"/>
  <c r="A8" i="14"/>
  <c r="C7" i="14"/>
  <c r="B7" i="14"/>
  <c r="D7" i="14" s="1"/>
  <c r="E7" i="14" s="1"/>
  <c r="A7" i="14"/>
  <c r="C6" i="14"/>
  <c r="B6" i="14"/>
  <c r="A6" i="14"/>
  <c r="C5" i="14"/>
  <c r="B5" i="14"/>
  <c r="A5" i="14"/>
  <c r="F14" i="13"/>
  <c r="F13" i="13"/>
  <c r="B7" i="10"/>
  <c r="B5" i="10"/>
  <c r="B13" i="9"/>
  <c r="B12" i="9"/>
  <c r="B7" i="9"/>
  <c r="B5" i="9"/>
  <c r="B10" i="8"/>
  <c r="E17" i="7"/>
  <c r="C6" i="12" s="1"/>
  <c r="C17" i="7"/>
  <c r="B17" i="7"/>
  <c r="C5" i="12" s="1"/>
  <c r="E16" i="7"/>
  <c r="C16" i="7"/>
  <c r="B7" i="8" s="1"/>
  <c r="B16" i="7"/>
  <c r="B5" i="12" s="1"/>
  <c r="B10" i="7"/>
  <c r="B9" i="7"/>
  <c r="B8" i="7"/>
  <c r="B7" i="7"/>
  <c r="D8" i="5"/>
  <c r="C8" i="5"/>
  <c r="D5" i="5"/>
  <c r="C5" i="5"/>
  <c r="B5" i="5"/>
  <c r="E12" i="4"/>
  <c r="C13" i="11" s="1"/>
  <c r="D12" i="4"/>
  <c r="C12" i="4"/>
  <c r="B12" i="4"/>
  <c r="E11" i="4"/>
  <c r="B18" i="19" s="1"/>
  <c r="D11" i="4"/>
  <c r="C11" i="4"/>
  <c r="B11" i="4"/>
  <c r="E10" i="4"/>
  <c r="E8" i="5" s="1"/>
  <c r="D10" i="4"/>
  <c r="C10" i="4"/>
  <c r="B10" i="4"/>
  <c r="B8" i="5" s="1"/>
  <c r="E8" i="4"/>
  <c r="E6" i="5" s="1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F17" i="3"/>
  <c r="J17" i="3" s="1"/>
  <c r="F14" i="3"/>
  <c r="J14" i="3" s="1"/>
  <c r="D5" i="14" l="1"/>
  <c r="E5" i="14" s="1"/>
  <c r="D6" i="14"/>
  <c r="E6" i="14" s="1"/>
  <c r="D5" i="15"/>
  <c r="B6" i="8"/>
  <c r="B8" i="8" s="1"/>
  <c r="B18" i="8" s="1"/>
  <c r="E9" i="5"/>
  <c r="C18" i="7"/>
  <c r="G18" i="7" s="1"/>
  <c r="B11" i="7"/>
  <c r="C9" i="5"/>
  <c r="B16" i="8"/>
  <c r="B9" i="4"/>
  <c r="B7" i="5" s="1"/>
  <c r="B9" i="5"/>
  <c r="D9" i="5"/>
  <c r="B11" i="11"/>
  <c r="D9" i="4"/>
  <c r="D7" i="5" s="1"/>
  <c r="C11" i="11"/>
  <c r="F9" i="5"/>
  <c r="B14" i="9"/>
  <c r="B11" i="9" s="1"/>
  <c r="B8" i="9" s="1"/>
  <c r="B6" i="9" s="1"/>
  <c r="C9" i="4"/>
  <c r="C7" i="12"/>
  <c r="C8" i="12" s="1"/>
  <c r="B14" i="13" s="1"/>
  <c r="D25" i="19"/>
  <c r="C13" i="4"/>
  <c r="C7" i="5"/>
  <c r="B13" i="4"/>
  <c r="C26" i="19"/>
  <c r="D26" i="19" s="1"/>
  <c r="B17" i="19"/>
  <c r="B17" i="8"/>
  <c r="F6" i="24"/>
  <c r="C25" i="31" s="1"/>
  <c r="F10" i="27"/>
  <c r="D24" i="19"/>
  <c r="D13" i="23"/>
  <c r="D6" i="5"/>
  <c r="F6" i="5" s="1"/>
  <c r="B6" i="5"/>
  <c r="F17" i="7"/>
  <c r="C6" i="5"/>
  <c r="D16" i="7"/>
  <c r="E18" i="7"/>
  <c r="E6" i="24"/>
  <c r="B12" i="7"/>
  <c r="B12" i="11"/>
  <c r="D11" i="12"/>
  <c r="F16" i="7"/>
  <c r="D16" i="23"/>
  <c r="D17" i="7"/>
  <c r="B18" i="7"/>
  <c r="D5" i="12" s="1"/>
  <c r="B6" i="11"/>
  <c r="B9" i="10"/>
  <c r="C12" i="11"/>
  <c r="B6" i="12"/>
  <c r="B7" i="12" s="1"/>
  <c r="D9" i="30"/>
  <c r="C9" i="30"/>
  <c r="E9" i="30"/>
  <c r="B13" i="11"/>
  <c r="F7" i="25"/>
  <c r="E15" i="29"/>
  <c r="B9" i="30"/>
  <c r="F9" i="30" s="1"/>
  <c r="E5" i="5"/>
  <c r="F5" i="5" s="1"/>
  <c r="C13" i="14"/>
  <c r="B8" i="13"/>
  <c r="C5" i="11"/>
  <c r="B14" i="15"/>
  <c r="B5" i="11"/>
  <c r="B7" i="11" s="1"/>
  <c r="B8" i="14"/>
  <c r="E9" i="4"/>
  <c r="D9" i="20"/>
  <c r="E9" i="20" s="1"/>
  <c r="B12" i="29"/>
  <c r="B5" i="25"/>
  <c r="C12" i="29"/>
  <c r="C5" i="30"/>
  <c r="C5" i="25"/>
  <c r="F8" i="5"/>
  <c r="D5" i="30"/>
  <c r="D5" i="25"/>
  <c r="D12" i="29"/>
  <c r="E9" i="26"/>
  <c r="F9" i="26" s="1"/>
  <c r="F5" i="24"/>
  <c r="C5" i="32" s="1"/>
  <c r="D5" i="32" s="1"/>
  <c r="D13" i="4" l="1"/>
  <c r="B6" i="10"/>
  <c r="B9" i="9"/>
  <c r="B14" i="4"/>
  <c r="B10" i="5"/>
  <c r="D15" i="23"/>
  <c r="D17" i="23"/>
  <c r="D18" i="23" s="1"/>
  <c r="B10" i="9"/>
  <c r="E13" i="4"/>
  <c r="E7" i="5"/>
  <c r="F7" i="5" s="1"/>
  <c r="E12" i="29"/>
  <c r="F12" i="29" s="1"/>
  <c r="E5" i="30"/>
  <c r="F5" i="30" s="1"/>
  <c r="E5" i="25"/>
  <c r="F5" i="25" s="1"/>
  <c r="F8" i="25" s="1"/>
  <c r="B5" i="8"/>
  <c r="F18" i="7"/>
  <c r="D38" i="23"/>
  <c r="B9" i="12"/>
  <c r="C13" i="13" s="1"/>
  <c r="G16" i="7"/>
  <c r="D14" i="4"/>
  <c r="D10" i="5"/>
  <c r="F15" i="29"/>
  <c r="D18" i="7"/>
  <c r="C8" i="11"/>
  <c r="C9" i="11" s="1"/>
  <c r="D6" i="12"/>
  <c r="D7" i="12" s="1"/>
  <c r="B15" i="11"/>
  <c r="B8" i="12"/>
  <c r="B6" i="25"/>
  <c r="B7" i="25"/>
  <c r="B8" i="25" s="1"/>
  <c r="B9" i="25" s="1"/>
  <c r="C7" i="25"/>
  <c r="C9" i="12"/>
  <c r="G17" i="7"/>
  <c r="C10" i="5"/>
  <c r="C14" i="4"/>
  <c r="C5" i="20" l="1"/>
  <c r="B8" i="10"/>
  <c r="B10" i="10" s="1"/>
  <c r="D5" i="20" s="1"/>
  <c r="E5" i="20" s="1"/>
  <c r="B5" i="26"/>
  <c r="B5" i="27"/>
  <c r="B10" i="25"/>
  <c r="D8" i="12"/>
  <c r="B16" i="12" s="1"/>
  <c r="B8" i="15"/>
  <c r="C15" i="29"/>
  <c r="D6" i="25"/>
  <c r="D15" i="20"/>
  <c r="E15" i="20" s="1"/>
  <c r="C15" i="20"/>
  <c r="D24" i="23"/>
  <c r="D23" i="23"/>
  <c r="D22" i="23"/>
  <c r="E14" i="4"/>
  <c r="E10" i="5"/>
  <c r="F10" i="5" s="1"/>
  <c r="C8" i="25"/>
  <c r="C9" i="25" s="1"/>
  <c r="B9" i="31"/>
  <c r="E9" i="28"/>
  <c r="C9" i="28"/>
  <c r="B9" i="28"/>
  <c r="D9" i="28"/>
  <c r="C7" i="24"/>
  <c r="C8" i="24" s="1"/>
  <c r="C15" i="30" s="1"/>
  <c r="F7" i="24"/>
  <c r="E7" i="24"/>
  <c r="E8" i="24" s="1"/>
  <c r="E15" i="30" s="1"/>
  <c r="D7" i="24"/>
  <c r="D8" i="24" s="1"/>
  <c r="D15" i="30" s="1"/>
  <c r="B7" i="24"/>
  <c r="B8" i="24" s="1"/>
  <c r="B12" i="8"/>
  <c r="B9" i="8"/>
  <c r="B11" i="8" s="1"/>
  <c r="F6" i="25"/>
  <c r="B13" i="13"/>
  <c r="D13" i="13" s="1"/>
  <c r="G13" i="13" s="1"/>
  <c r="E8" i="16"/>
  <c r="E6" i="16"/>
  <c r="F6" i="16" s="1"/>
  <c r="E7" i="16"/>
  <c r="F7" i="16" s="1"/>
  <c r="E5" i="16"/>
  <c r="F5" i="16" s="1"/>
  <c r="E7" i="30"/>
  <c r="D7" i="30"/>
  <c r="D8" i="30" s="1"/>
  <c r="D10" i="30" s="1"/>
  <c r="D18" i="30" s="1"/>
  <c r="F7" i="30"/>
  <c r="B7" i="31" s="1"/>
  <c r="C7" i="30"/>
  <c r="C8" i="30" s="1"/>
  <c r="C10" i="30" s="1"/>
  <c r="C18" i="30" s="1"/>
  <c r="B7" i="30"/>
  <c r="B8" i="30" s="1"/>
  <c r="C6" i="25"/>
  <c r="B15" i="29"/>
  <c r="F16" i="3"/>
  <c r="J16" i="3" s="1"/>
  <c r="D9" i="12"/>
  <c r="B17" i="12" s="1"/>
  <c r="C10" i="11"/>
  <c r="C14" i="13"/>
  <c r="D14" i="13" s="1"/>
  <c r="G14" i="13" s="1"/>
  <c r="C10" i="12"/>
  <c r="E8" i="25"/>
  <c r="D7" i="25"/>
  <c r="B10" i="12"/>
  <c r="E8" i="30"/>
  <c r="E10" i="30" s="1"/>
  <c r="E18" i="30" s="1"/>
  <c r="F8" i="30" l="1"/>
  <c r="B10" i="30"/>
  <c r="D13" i="14"/>
  <c r="D14" i="14" s="1"/>
  <c r="D15" i="14" s="1"/>
  <c r="D8" i="16"/>
  <c r="F8" i="16" s="1"/>
  <c r="B5" i="13"/>
  <c r="F9" i="28"/>
  <c r="D10" i="12"/>
  <c r="C6" i="20" s="1"/>
  <c r="C24" i="31"/>
  <c r="G24" i="31" s="1"/>
  <c r="B5" i="29"/>
  <c r="B8" i="29" s="1"/>
  <c r="D11" i="26"/>
  <c r="C11" i="26"/>
  <c r="F11" i="26"/>
  <c r="E11" i="26"/>
  <c r="B11" i="26"/>
  <c r="E13" i="14"/>
  <c r="B18" i="12"/>
  <c r="B6" i="13"/>
  <c r="D35" i="23"/>
  <c r="B6" i="29"/>
  <c r="D15" i="29"/>
  <c r="E6" i="25"/>
  <c r="E9" i="25" s="1"/>
  <c r="D8" i="25"/>
  <c r="D9" i="25" s="1"/>
  <c r="C14" i="11"/>
  <c r="C15" i="11" s="1"/>
  <c r="B16" i="11" s="1"/>
  <c r="B19" i="8"/>
  <c r="B20" i="8" s="1"/>
  <c r="B21" i="8" s="1"/>
  <c r="F12" i="28"/>
  <c r="C12" i="28"/>
  <c r="E12" i="28"/>
  <c r="D12" i="28"/>
  <c r="B12" i="28"/>
  <c r="F11" i="28"/>
  <c r="E11" i="28"/>
  <c r="C11" i="28"/>
  <c r="B11" i="28"/>
  <c r="D11" i="28"/>
  <c r="B7" i="29"/>
  <c r="B7" i="27"/>
  <c r="C5" i="26"/>
  <c r="C5" i="27"/>
  <c r="C7" i="27" s="1"/>
  <c r="C10" i="25"/>
  <c r="B15" i="30"/>
  <c r="F8" i="24"/>
  <c r="B8" i="26"/>
  <c r="F8" i="26" s="1"/>
  <c r="B7" i="26"/>
  <c r="E5" i="26" l="1"/>
  <c r="E5" i="27"/>
  <c r="E7" i="27" s="1"/>
  <c r="E10" i="25"/>
  <c r="B5" i="28"/>
  <c r="B11" i="27"/>
  <c r="D5" i="27"/>
  <c r="D5" i="26"/>
  <c r="F5" i="26" s="1"/>
  <c r="D10" i="25"/>
  <c r="F13" i="29"/>
  <c r="E13" i="29"/>
  <c r="D13" i="29"/>
  <c r="D14" i="29" s="1"/>
  <c r="D16" i="30" s="1"/>
  <c r="D17" i="30" s="1"/>
  <c r="D19" i="30" s="1"/>
  <c r="C13" i="29"/>
  <c r="B13" i="29"/>
  <c r="B21" i="29"/>
  <c r="B12" i="26"/>
  <c r="B9" i="26"/>
  <c r="C8" i="26" s="1"/>
  <c r="C7" i="26"/>
  <c r="F9" i="24"/>
  <c r="C6" i="32"/>
  <c r="D6" i="32" s="1"/>
  <c r="F15" i="30"/>
  <c r="G15" i="30" s="1"/>
  <c r="B18" i="30"/>
  <c r="F18" i="30" s="1"/>
  <c r="G18" i="30" s="1"/>
  <c r="F10" i="30"/>
  <c r="C9" i="32" s="1"/>
  <c r="D9" i="32" s="1"/>
  <c r="F8" i="27"/>
  <c r="E8" i="27"/>
  <c r="D8" i="27"/>
  <c r="C8" i="27"/>
  <c r="C9" i="27" s="1"/>
  <c r="B8" i="27"/>
  <c r="B9" i="27" s="1"/>
  <c r="D7" i="20"/>
  <c r="E7" i="20" s="1"/>
  <c r="C7" i="20"/>
  <c r="C8" i="14"/>
  <c r="D8" i="14" s="1"/>
  <c r="E8" i="14" s="1"/>
  <c r="B7" i="13"/>
  <c r="B9" i="13" s="1"/>
  <c r="B19" i="12"/>
  <c r="B20" i="12" s="1"/>
  <c r="D12" i="12"/>
  <c r="D6" i="20"/>
  <c r="E6" i="20" s="1"/>
  <c r="F13" i="14"/>
  <c r="G13" i="14" s="1"/>
  <c r="H13" i="14" s="1"/>
  <c r="E14" i="14"/>
  <c r="C5" i="28"/>
  <c r="C11" i="27"/>
  <c r="F9" i="25"/>
  <c r="F14" i="14" l="1"/>
  <c r="G14" i="14" s="1"/>
  <c r="H14" i="14" s="1"/>
  <c r="E15" i="14"/>
  <c r="F15" i="14" s="1"/>
  <c r="G15" i="14" s="1"/>
  <c r="H15" i="14" s="1"/>
  <c r="E16" i="29"/>
  <c r="F16" i="29" s="1"/>
  <c r="B23" i="29" s="1"/>
  <c r="E14" i="29"/>
  <c r="E16" i="30" s="1"/>
  <c r="E17" i="30" s="1"/>
  <c r="E19" i="30" s="1"/>
  <c r="D16" i="29"/>
  <c r="C8" i="15"/>
  <c r="D8" i="15" s="1"/>
  <c r="B15" i="15"/>
  <c r="B21" i="12"/>
  <c r="B16" i="15" s="1"/>
  <c r="D8" i="20"/>
  <c r="E8" i="20" s="1"/>
  <c r="C8" i="20"/>
  <c r="B14" i="29"/>
  <c r="B16" i="29"/>
  <c r="C9" i="26"/>
  <c r="D8" i="26" s="1"/>
  <c r="D7" i="26"/>
  <c r="D7" i="27"/>
  <c r="F5" i="27"/>
  <c r="C12" i="26"/>
  <c r="B10" i="26"/>
  <c r="C13" i="20"/>
  <c r="D13" i="20"/>
  <c r="E13" i="20" s="1"/>
  <c r="C14" i="29"/>
  <c r="C16" i="30" s="1"/>
  <c r="C17" i="30" s="1"/>
  <c r="C19" i="30" s="1"/>
  <c r="C16" i="29"/>
  <c r="E9" i="27"/>
  <c r="E5" i="28"/>
  <c r="E11" i="27"/>
  <c r="F10" i="25"/>
  <c r="C7" i="32" s="1"/>
  <c r="D7" i="32" s="1"/>
  <c r="B22" i="29"/>
  <c r="F6" i="28"/>
  <c r="B24" i="29"/>
  <c r="E7" i="26"/>
  <c r="D9" i="26"/>
  <c r="E8" i="26" s="1"/>
  <c r="F7" i="26" l="1"/>
  <c r="B13" i="26"/>
  <c r="E12" i="26"/>
  <c r="E10" i="26"/>
  <c r="E13" i="26" s="1"/>
  <c r="B16" i="30"/>
  <c r="F14" i="29"/>
  <c r="B25" i="29" s="1"/>
  <c r="B18" i="15"/>
  <c r="D14" i="20" s="1"/>
  <c r="E14" i="20" s="1"/>
  <c r="B26" i="29"/>
  <c r="C8" i="32" s="1"/>
  <c r="D8" i="32" s="1"/>
  <c r="B6" i="31"/>
  <c r="B8" i="31" s="1"/>
  <c r="G25" i="31" s="1"/>
  <c r="C10" i="32" s="1"/>
  <c r="D10" i="32" s="1"/>
  <c r="C10" i="26"/>
  <c r="C13" i="26" s="1"/>
  <c r="D10" i="26"/>
  <c r="D13" i="26" s="1"/>
  <c r="D12" i="26"/>
  <c r="D9" i="27"/>
  <c r="F9" i="27" s="1"/>
  <c r="D5" i="28"/>
  <c r="D11" i="27"/>
  <c r="F7" i="27"/>
  <c r="F11" i="27" s="1"/>
  <c r="C14" i="20" l="1"/>
  <c r="F5" i="28"/>
  <c r="F16" i="30"/>
  <c r="G16" i="30" s="1"/>
  <c r="B17" i="30"/>
  <c r="F10" i="26"/>
  <c r="B19" i="15"/>
  <c r="B20" i="15" s="1"/>
  <c r="F12" i="26"/>
  <c r="F13" i="26"/>
  <c r="B19" i="30" l="1"/>
  <c r="F19" i="30" s="1"/>
  <c r="F17" i="30"/>
  <c r="G17" i="30" s="1"/>
  <c r="D7" i="28"/>
  <c r="D8" i="28" s="1"/>
  <c r="D10" i="28" s="1"/>
  <c r="F7" i="28"/>
  <c r="E7" i="28"/>
  <c r="E8" i="28" s="1"/>
  <c r="E10" i="28" s="1"/>
  <c r="C7" i="28"/>
  <c r="C8" i="28" s="1"/>
  <c r="C10" i="28" s="1"/>
  <c r="B7" i="28"/>
  <c r="B8" i="28" s="1"/>
  <c r="F8" i="28" l="1"/>
  <c r="B10" i="28"/>
  <c r="F10" i="28" s="1"/>
  <c r="F24" i="31"/>
  <c r="E24" i="31"/>
  <c r="G19" i="30"/>
  <c r="F25" i="31"/>
  <c r="E25" i="31"/>
</calcChain>
</file>

<file path=xl/sharedStrings.xml><?xml version="1.0" encoding="utf-8"?>
<sst xmlns="http://schemas.openxmlformats.org/spreadsheetml/2006/main" count="1450" uniqueCount="937">
  <si>
    <t>Tesla OBF Session 1 + 2 + 3 Linked Workbook</t>
  </si>
  <si>
    <t>Formula-linked model for the website and presentation.</t>
  </si>
  <si>
    <t>Item</t>
  </si>
  <si>
    <t>Description</t>
  </si>
  <si>
    <t>Scope</t>
  </si>
  <si>
    <t>FY2022-FY2025 actuals, Session 2 planning checks, and FY2026 Session 3 operating budget.</t>
  </si>
  <si>
    <t>Connection</t>
  </si>
  <si>
    <t>Source Data -&gt; Session 1 Steps 1-9 -&gt; Session 2 Steps 1-7 -&gt; Session 3 Steps 1-8 -&gt; checks.</t>
  </si>
  <si>
    <t>Assumptions</t>
  </si>
  <si>
    <t>Every managerial choice is labelled as Given, Calculated, or Assumed.</t>
  </si>
  <si>
    <t>Calculation</t>
  </si>
  <si>
    <t>Workbook formulas are set to recalculate when opened in Excel.</t>
  </si>
  <si>
    <t>Source Data</t>
  </si>
  <si>
    <t>Tesla-reported inputs used by all calculated sheets. No pre-2022 data is used.</t>
  </si>
  <si>
    <t>Line item</t>
  </si>
  <si>
    <t>FY2022</t>
  </si>
  <si>
    <t>FY2023</t>
  </si>
  <si>
    <t>FY2024</t>
  </si>
  <si>
    <t>FY2025</t>
  </si>
  <si>
    <t>Source</t>
  </si>
  <si>
    <t>Total Revenue</t>
  </si>
  <si>
    <t>Tesla FY2025 Form 10-K, consolidated statement of operations</t>
  </si>
  <si>
    <t>Total Automotive Revenue</t>
  </si>
  <si>
    <t>Tesla FY2025 Form 10-K, revenue disaggregation</t>
  </si>
  <si>
    <t>Energy Generation &amp; Storage</t>
  </si>
  <si>
    <t>Services and Other</t>
  </si>
  <si>
    <t>Cost of Revenues</t>
  </si>
  <si>
    <t>Gross Profit</t>
  </si>
  <si>
    <t>Project calculation from SRC-01: Revenue - Cost of revenues</t>
  </si>
  <si>
    <t>Research &amp; Development</t>
  </si>
  <si>
    <t>Selling, General &amp; Administrative</t>
  </si>
  <si>
    <t>Restructuring &amp; Other</t>
  </si>
  <si>
    <t>Income from Operations</t>
  </si>
  <si>
    <t>Net Income Attributable to Common Stockholders</t>
  </si>
  <si>
    <t>Tesla FY2025 Form 10-K, consolidated statement of operations (attributable to common stockholders)</t>
  </si>
  <si>
    <t>Segment Revenue and Cost Pools</t>
  </si>
  <si>
    <t>Segment</t>
  </si>
  <si>
    <t>FY2022 Rev</t>
  </si>
  <si>
    <t>FY2022 Cost</t>
  </si>
  <si>
    <t>FY2023 Rev</t>
  </si>
  <si>
    <t>FY2023 Cost</t>
  </si>
  <si>
    <t>FY2024 Rev</t>
  </si>
  <si>
    <t>FY2024 Cost</t>
  </si>
  <si>
    <t>FY2025 Rev</t>
  </si>
  <si>
    <t>FY2025 Cost</t>
  </si>
  <si>
    <t>Automotive + Services</t>
  </si>
  <si>
    <t>Total</t>
  </si>
  <si>
    <t>Operational Drivers</t>
  </si>
  <si>
    <t>Driver</t>
  </si>
  <si>
    <t>Vehicles Produced - exact units</t>
  </si>
  <si>
    <t>Tesla annual production/delivery releases</t>
  </si>
  <si>
    <t>Vehicles Delivered - exact units</t>
  </si>
  <si>
    <t>Production minus deliveries</t>
  </si>
  <si>
    <t>Produced - delivered</t>
  </si>
  <si>
    <t>Energy Storage Deployed (GWh)</t>
  </si>
  <si>
    <t>Tesla production/delivery releases</t>
  </si>
  <si>
    <t>Inventory Categories</t>
  </si>
  <si>
    <t>Category</t>
  </si>
  <si>
    <t>Raw materials</t>
  </si>
  <si>
    <t>10-K Note: Inventory (peer-merged from actual disclosure)</t>
  </si>
  <si>
    <t>Work in process</t>
  </si>
  <si>
    <t>Finished goods</t>
  </si>
  <si>
    <t>Service parts</t>
  </si>
  <si>
    <t>Historical CVP Inputs</t>
  </si>
  <si>
    <t>Year</t>
  </si>
  <si>
    <t>Weighted CM %</t>
  </si>
  <si>
    <t>Contribution Margin $M</t>
  </si>
  <si>
    <t>Operating Income $M</t>
  </si>
  <si>
    <t>Derived from segment cost-pool method</t>
  </si>
  <si>
    <t>Assumptions Audit</t>
  </si>
  <si>
    <t>Every non-disclosed managerial choice is marked A01-A20 and validated.</t>
  </si>
  <si>
    <t>ID</t>
  </si>
  <si>
    <t>Assumption / boundary</t>
  </si>
  <si>
    <t>Type</t>
  </si>
  <si>
    <t>Why required</t>
  </si>
  <si>
    <t>Used in</t>
  </si>
  <si>
    <t>Base numeric</t>
  </si>
  <si>
    <t>Downside</t>
  </si>
  <si>
    <t>Upside</t>
  </si>
  <si>
    <t>Secondary</t>
  </si>
  <si>
    <t>Display</t>
  </si>
  <si>
    <t>Validation</t>
  </si>
  <si>
    <t>A01</t>
  </si>
  <si>
    <t>DM = 60% of Auto+Services cost pool</t>
  </si>
  <si>
    <t>Managerial</t>
  </si>
  <si>
    <t>Tesla does not disclose direct materials separately.</t>
  </si>
  <si>
    <t>Steps 5-6</t>
  </si>
  <si>
    <t>60.0%</t>
  </si>
  <si>
    <t>DM + DL + MOH components sum back to the cost pool.</t>
  </si>
  <si>
    <t>A02</t>
  </si>
  <si>
    <t>DL = 10% of Auto+Services cost pool</t>
  </si>
  <si>
    <t>Tesla does not disclose direct labour separately.</t>
  </si>
  <si>
    <t>10.0%</t>
  </si>
  <si>
    <t>Component split sums back to the cost pool.</t>
  </si>
  <si>
    <t>A03</t>
  </si>
  <si>
    <t>MOH = 30% teaching allocation</t>
  </si>
  <si>
    <t>Tesla does not disclose MOH separately.</t>
  </si>
  <si>
    <t>30.0%</t>
  </si>
  <si>
    <t>MOH reconciles to variable MOH plus fixed MOH.</t>
  </si>
  <si>
    <t>A04</t>
  </si>
  <si>
    <t>Auto+Services variable cost pool/rate</t>
  </si>
  <si>
    <t>Tesla discloses segment cost, not cost behavior.</t>
  </si>
  <si>
    <t>Steps 4, 8, 9, S2</t>
  </si>
  <si>
    <t>$59,604M variable pool (72.7% display rate)</t>
  </si>
  <si>
    <t>Segment cost pool reconciles to reported COGS.</t>
  </si>
  <si>
    <t>A05</t>
  </si>
  <si>
    <t>Energy variable cost pool/rate</t>
  </si>
  <si>
    <t>Steps 4, 9, S2</t>
  </si>
  <si>
    <t>$7,244M variable pool (56.7% display rate)</t>
  </si>
  <si>
    <t>Energy segment cost pool ties to segment disclosure.</t>
  </si>
  <si>
    <t>A06</t>
  </si>
  <si>
    <t>SG&amp;A fixed in base case</t>
  </si>
  <si>
    <t>Boundary</t>
  </si>
  <si>
    <t>Tesla does not disclose variable SG&amp;A separately.</t>
  </si>
  <si>
    <t>Steps 8-9</t>
  </si>
  <si>
    <t>Fixed in base</t>
  </si>
  <si>
    <t>Sensitivity tests SG&amp;A growth separately.</t>
  </si>
  <si>
    <t>A07</t>
  </si>
  <si>
    <t>Raw-material purchases are residual</t>
  </si>
  <si>
    <t>Residual</t>
  </si>
  <si>
    <t>Tesla discloses inventory categories but not purchases.</t>
  </si>
  <si>
    <t>Step 6</t>
  </si>
  <si>
    <t>Inventory equation balances to COGM.</t>
  </si>
  <si>
    <t>A08</t>
  </si>
  <si>
    <t>COGM reconstructed to tie COGS</t>
  </si>
  <si>
    <t>Tesla does not publish COGM.</t>
  </si>
  <si>
    <t>Steps 6-7</t>
  </si>
  <si>
    <t>Formula</t>
  </si>
  <si>
    <t>Step 7 COGS variance equals zero.</t>
  </si>
  <si>
    <t>A09</t>
  </si>
  <si>
    <t>Per-vehicle cost uses Auto+Services only</t>
  </si>
  <si>
    <t>Energy products are not vehicle units.</t>
  </si>
  <si>
    <t>Step 5</t>
  </si>
  <si>
    <t>Vehicle denominator only used for vehicle cost.</t>
  </si>
  <si>
    <t>A10</t>
  </si>
  <si>
    <t>Fixed-MOH deferral uses production minus delivery build</t>
  </si>
  <si>
    <t>Source-backed calculation + boundary</t>
  </si>
  <si>
    <t>Tesla discloses production and delivery counts; variable-costing deferral treatment is managerial.</t>
  </si>
  <si>
    <t>Step 8</t>
  </si>
  <si>
    <t>1,654,667 produced - 1,636,129 delivered; build x fixed MOH per vehicle ties to income gap.</t>
  </si>
  <si>
    <t>A11</t>
  </si>
  <si>
    <t>Segment contribution stops at gross profit</t>
  </si>
  <si>
    <t>Tesla does not disclose segment R&amp;D or SG&amp;A.</t>
  </si>
  <si>
    <t>Step 9</t>
  </si>
  <si>
    <t>Segment CM totals reconcile to consolidated CM.</t>
  </si>
  <si>
    <t>A12</t>
  </si>
  <si>
    <t>CVP fixed cost includes fixed manufacturing plus OpEx</t>
  </si>
  <si>
    <t>Classification</t>
  </si>
  <si>
    <t>CVP reorganizes reported costs by behavior.</t>
  </si>
  <si>
    <t>Session 2</t>
  </si>
  <si>
    <t>BEP x WACM equals fixed costs.</t>
  </si>
  <si>
    <t>A13</t>
  </si>
  <si>
    <t>Mix effect holds FY2025 segment CM rates constant</t>
  </si>
  <si>
    <t>Calculated base + analytical assumption</t>
  </si>
  <si>
    <t>FY2025 Energy mix is calculated from Tesla segment revenue; holding CM rates constant isolates mix from margin residual.</t>
  </si>
  <si>
    <t>S2 Step 4</t>
  </si>
  <si>
    <t>Energy mix = $12,771M / $94,827M; mix-only WACM separated from actual WACM.</t>
  </si>
  <si>
    <t>A14</t>
  </si>
  <si>
    <t>FY2026 total revenue</t>
  </si>
  <si>
    <t>Planning</t>
  </si>
  <si>
    <t>Future annual value is not disclosed by Tesla.</t>
  </si>
  <si>
    <t>S2 sensitivity/horizon</t>
  </si>
  <si>
    <t>$95,023M</t>
  </si>
  <si>
    <t>Sensitivity tests downside and upside cases.</t>
  </si>
  <si>
    <t>A15</t>
  </si>
  <si>
    <t>Gross margin target</t>
  </si>
  <si>
    <t>FY2026 annual gross margin is not disclosed by Tesla.</t>
  </si>
  <si>
    <t>S2 sensitivity</t>
  </si>
  <si>
    <t>18.0%</t>
  </si>
  <si>
    <t>Anchored to FY2025 gross margin and stress-tested.</t>
  </si>
  <si>
    <t>A16</t>
  </si>
  <si>
    <t>R&amp;D growth</t>
  </si>
  <si>
    <t>Future R&amp;D spending is not disclosed by Tesla.</t>
  </si>
  <si>
    <t>+20.0%</t>
  </si>
  <si>
    <t>Starts from FY2025 R&amp;D and flexes in cases.</t>
  </si>
  <si>
    <t>A17</t>
  </si>
  <si>
    <t>SG&amp;A growth</t>
  </si>
  <si>
    <t>Future SG&amp;A spending is not disclosed by Tesla.</t>
  </si>
  <si>
    <t>+5.0%</t>
  </si>
  <si>
    <t>Starts from FY2025 SG&amp;A and flexes in cases.</t>
  </si>
  <si>
    <t>A18</t>
  </si>
  <si>
    <t>Restructuring</t>
  </si>
  <si>
    <t>Future restructuring charges are not disclosed by Tesla.</t>
  </si>
  <si>
    <t>$247M</t>
  </si>
  <si>
    <t>Isolated as a non-recurring planning item.</t>
  </si>
  <si>
    <t>A19</t>
  </si>
  <si>
    <t>FY2027 total revenue</t>
  </si>
  <si>
    <t>Future FY2027 revenue is not disclosed by Tesla.</t>
  </si>
  <si>
    <t>S2 planning horizon</t>
  </si>
  <si>
    <t>$99,774M</t>
  </si>
  <si>
    <t>Extends MoS across the 2025-2027 planning horizon.</t>
  </si>
  <si>
    <t>A20</t>
  </si>
  <si>
    <t>Fixed-cost planning escalation</t>
  </si>
  <si>
    <t>Future fixed-cost base is not disclosed by Tesla.</t>
  </si>
  <si>
    <t>+5.8% FY2026, +4.2% FY2027</t>
  </si>
  <si>
    <t>Controls projected BEP and MoS.</t>
  </si>
  <si>
    <t>Legend: amber cells are assumed/planning inputs. Teal cells inside this audit are source-backed or formula-backed values used inside an assumption boundary. White formula cells calculate from source data and labelled assumptions.</t>
  </si>
  <si>
    <t>Session 1 Step 1 - Reconstructed Income Statement</t>
  </si>
  <si>
    <t>Reported 10-K lines plus formula tie-outs.</t>
  </si>
  <si>
    <t>Formula / source</t>
  </si>
  <si>
    <t>Reported</t>
  </si>
  <si>
    <t>Auto + Services Revenue</t>
  </si>
  <si>
    <t>Auto revenue + Services revenue</t>
  </si>
  <si>
    <t>Energy Revenue</t>
  </si>
  <si>
    <t>Revenue - COGS</t>
  </si>
  <si>
    <t>R&amp;D</t>
  </si>
  <si>
    <t>SG&amp;A</t>
  </si>
  <si>
    <t>Operating Income</t>
  </si>
  <si>
    <t>Gross profit - R&amp;D - SG&amp;A - restructuring</t>
  </si>
  <si>
    <t>Reported OI check</t>
  </si>
  <si>
    <t>Should be zero</t>
  </si>
  <si>
    <t>Session 1 Step 2 - Vertical Analysis</t>
  </si>
  <si>
    <t>Each line divided by revenue, with the FY2025 movement shown.</t>
  </si>
  <si>
    <t>FY2022 %</t>
  </si>
  <si>
    <t>FY2023 %</t>
  </si>
  <si>
    <t>FY2024 %</t>
  </si>
  <si>
    <t>FY2025 %</t>
  </si>
  <si>
    <t>FY2025 vs FY2024 pp</t>
  </si>
  <si>
    <t>Reading</t>
  </si>
  <si>
    <t>Revenue is the common-size base.</t>
  </si>
  <si>
    <t>COGS stayed near 82% of revenue in FY2025.</t>
  </si>
  <si>
    <t>Gross margin held near FY2024.</t>
  </si>
  <si>
    <t>Largest FY2025 operating-cost pressure.</t>
  </si>
  <si>
    <t>Support cost increased as a share of revenue.</t>
  </si>
  <si>
    <t>Operating margin compressed because OpEx rose.</t>
  </si>
  <si>
    <t>Session 1 Step 3 - Cost Classification</t>
  </si>
  <si>
    <t>Nature, behavior, function, prime/conversion, and model use.</t>
  </si>
  <si>
    <t>Cost line</t>
  </si>
  <si>
    <t>Nature</t>
  </si>
  <si>
    <t>Behavior</t>
  </si>
  <si>
    <t>Function</t>
  </si>
  <si>
    <t>Prime / conversion</t>
  </si>
  <si>
    <t>Model use</t>
  </si>
  <si>
    <t>Battery cells, body materials, motors</t>
  </si>
  <si>
    <t>Direct</t>
  </si>
  <si>
    <t>Variable</t>
  </si>
  <si>
    <t>Product</t>
  </si>
  <si>
    <t>Prime</t>
  </si>
  <si>
    <t>Direct materials</t>
  </si>
  <si>
    <t>Direct manufacturing labor</t>
  </si>
  <si>
    <t>Prime + conversion</t>
  </si>
  <si>
    <t>Direct labour</t>
  </si>
  <si>
    <t>Gigafactory electricity and utilities</t>
  </si>
  <si>
    <t>Indirect</t>
  </si>
  <si>
    <t>Mixed</t>
  </si>
  <si>
    <t>Conversion</t>
  </si>
  <si>
    <t>MOH</t>
  </si>
  <si>
    <t>Indirect production labor</t>
  </si>
  <si>
    <t>Tooling and machine depreciation</t>
  </si>
  <si>
    <t>Fixed</t>
  </si>
  <si>
    <t>Fixed MOH</t>
  </si>
  <si>
    <t>Plant maintenance and repairs</t>
  </si>
  <si>
    <t>Fixed base</t>
  </si>
  <si>
    <t>Period</t>
  </si>
  <si>
    <t>Neither</t>
  </si>
  <si>
    <t>Operating expense</t>
  </si>
  <si>
    <t>Mostly fixed</t>
  </si>
  <si>
    <t>Session 1 Step 4 - High-Low and Cost Equations</t>
  </si>
  <si>
    <t>Classical high-low shown first; segment cost-pool equations are used downstream.</t>
  </si>
  <si>
    <t>Classical high-low field</t>
  </si>
  <si>
    <t>Value</t>
  </si>
  <si>
    <t>Basis</t>
  </si>
  <si>
    <t>Mixed cost line</t>
  </si>
  <si>
    <t>Auto + Services segment cost of revenues</t>
  </si>
  <si>
    <t>Tesla segment disclosure</t>
  </si>
  <si>
    <t>Activity driver</t>
  </si>
  <si>
    <t>Vehicles produced</t>
  </si>
  <si>
    <t>Tesla production releases</t>
  </si>
  <si>
    <t>High activity</t>
  </si>
  <si>
    <t>FY2023 vehicles produced</t>
  </si>
  <si>
    <t>High cost</t>
  </si>
  <si>
    <t>FY2023 Auto + Services cost</t>
  </si>
  <si>
    <t>Low activity</t>
  </si>
  <si>
    <t>FY2022 vehicles produced</t>
  </si>
  <si>
    <t>Low cost</t>
  </si>
  <si>
    <t>FY2022 Auto + Services cost</t>
  </si>
  <si>
    <t>Variable rate $/vehicle</t>
  </si>
  <si>
    <t>(High cost - low cost) / activity change</t>
  </si>
  <si>
    <t>Fixed component $M</t>
  </si>
  <si>
    <t>High cost - variable rate x high activity</t>
  </si>
  <si>
    <t>Revenue</t>
  </si>
  <si>
    <t>Segment cost</t>
  </si>
  <si>
    <t>Variable rate</t>
  </si>
  <si>
    <t>Variable pool</t>
  </si>
  <si>
    <t>Fixed pool</t>
  </si>
  <si>
    <t>Equation</t>
  </si>
  <si>
    <t>Auto + Services</t>
  </si>
  <si>
    <t>Energy</t>
  </si>
  <si>
    <t>Consolidated</t>
  </si>
  <si>
    <t>Session 1 Step 5 - Unit Product Cost</t>
  </si>
  <si>
    <t>Overhead rate and per-vehicle cost schedule.</t>
  </si>
  <si>
    <t>Part A</t>
  </si>
  <si>
    <t>Formula / basis</t>
  </si>
  <si>
    <t>Fixed MOH total $M</t>
  </si>
  <si>
    <t>Step 4 fixed pool</t>
  </si>
  <si>
    <t>Direct materials total $M</t>
  </si>
  <si>
    <t>A01 x Auto+Services cost</t>
  </si>
  <si>
    <t>Direct labour total $M</t>
  </si>
  <si>
    <t>A02 x Auto+Services cost</t>
  </si>
  <si>
    <t>Variable MOH total $M</t>
  </si>
  <si>
    <t>Variable pool - DM - DL</t>
  </si>
  <si>
    <t>Total estimated MOH $M</t>
  </si>
  <si>
    <t>Fixed MOH + variable MOH</t>
  </si>
  <si>
    <t>FY2025 exact production</t>
  </si>
  <si>
    <t>Predetermined OH rate $/vehicle</t>
  </si>
  <si>
    <t>Total MOH / vehicles</t>
  </si>
  <si>
    <t>Fixed MOH per vehicle</t>
  </si>
  <si>
    <t>Fixed MOH / vehicles</t>
  </si>
  <si>
    <t>Part B</t>
  </si>
  <si>
    <t>$ per vehicle</t>
  </si>
  <si>
    <t>DM total / vehicles</t>
  </si>
  <si>
    <t>DL total / vehicles</t>
  </si>
  <si>
    <t>Variable MOH</t>
  </si>
  <si>
    <t>Variable MOH / vehicles</t>
  </si>
  <si>
    <t>Absorption unit cost</t>
  </si>
  <si>
    <t>DM + DL + variable MOH + fixed MOH</t>
  </si>
  <si>
    <t>Variable unit cost</t>
  </si>
  <si>
    <t>Absorption unit cost - fixed MOH</t>
  </si>
  <si>
    <t>Session 1 Step 6 - Cost of Goods Manufactured</t>
  </si>
  <si>
    <t>COGM is reconstructed because Tesla does not disclose raw-material purchases.</t>
  </si>
  <si>
    <t>Amount $M</t>
  </si>
  <si>
    <t>Beginning raw materials</t>
  </si>
  <si>
    <t>FY2024 raw materials</t>
  </si>
  <si>
    <t>Raw materials purchased</t>
  </si>
  <si>
    <t>Residual: DM used + ending RM - beginning RM</t>
  </si>
  <si>
    <t>Ending raw materials</t>
  </si>
  <si>
    <t>FY2025 raw materials</t>
  </si>
  <si>
    <t>Direct materials used</t>
  </si>
  <si>
    <t>A01 x total manufacturing cost</t>
  </si>
  <si>
    <t>A02 x total manufacturing cost</t>
  </si>
  <si>
    <t>Manufacturing overhead</t>
  </si>
  <si>
    <t>Remainder</t>
  </si>
  <si>
    <t>Total manufacturing cost</t>
  </si>
  <si>
    <t>COGM - beginning WIP + ending WIP</t>
  </si>
  <si>
    <t>Beginning WIP</t>
  </si>
  <si>
    <t>FY2024 WIP</t>
  </si>
  <si>
    <t>Ending WIP</t>
  </si>
  <si>
    <t>FY2025 WIP</t>
  </si>
  <si>
    <t>Cost of goods manufactured</t>
  </si>
  <si>
    <t>COGS + ending FG - beginning FG</t>
  </si>
  <si>
    <t>Session 1 Step 7 - COGS Verification</t>
  </si>
  <si>
    <t>Finished-goods bridge ties reconstructed COGM to reported COGS.</t>
  </si>
  <si>
    <t>Beginning finished goods</t>
  </si>
  <si>
    <t>FY2024 finished goods</t>
  </si>
  <si>
    <t>Ending finished goods</t>
  </si>
  <si>
    <t>FY2025 finished goods</t>
  </si>
  <si>
    <t>Calculated COGS</t>
  </si>
  <si>
    <t>Beginning FG + COGM - ending FG</t>
  </si>
  <si>
    <t>Reported COGS</t>
  </si>
  <si>
    <t>Step 1 COGS</t>
  </si>
  <si>
    <t>Variance</t>
  </si>
  <si>
    <t>Session 1 Step 8 - Absorption vs Variable Costing</t>
  </si>
  <si>
    <t>Income difference equals the fixed-MOH deferral in inventory.</t>
  </si>
  <si>
    <t>Absorption $M</t>
  </si>
  <si>
    <t>Variable $M</t>
  </si>
  <si>
    <t>Note</t>
  </si>
  <si>
    <t>Same revenue</t>
  </si>
  <si>
    <t>Absorption COGS</t>
  </si>
  <si>
    <t>Product cost includes fixed MOH</t>
  </si>
  <si>
    <t>Gross profit</t>
  </si>
  <si>
    <t>Absorption basis</t>
  </si>
  <si>
    <t>Variable product costs</t>
  </si>
  <si>
    <t>DM + DL + variable MOH</t>
  </si>
  <si>
    <t>Contribution margin</t>
  </si>
  <si>
    <t>Variable-costing subtotal</t>
  </si>
  <si>
    <t>Fixed MOH incurred</t>
  </si>
  <si>
    <t>Period cost under variable costing</t>
  </si>
  <si>
    <t>Same in base case</t>
  </si>
  <si>
    <t>Same</t>
  </si>
  <si>
    <t>Fixed-MOH inventory deferral</t>
  </si>
  <si>
    <t>Build x fixed MOH per vehicle</t>
  </si>
  <si>
    <t>Operating income</t>
  </si>
  <si>
    <t>Difference equals deferral</t>
  </si>
  <si>
    <t>Difference</t>
  </si>
  <si>
    <t>Absorption OI - variable OI</t>
  </si>
  <si>
    <t>Session 1 Step 9 - Contribution Format</t>
  </si>
  <si>
    <t>Segment CM and fixed-cost base feed Session 2.</t>
  </si>
  <si>
    <t>Net revenue</t>
  </si>
  <si>
    <t>Variable costs</t>
  </si>
  <si>
    <t>CM ratio</t>
  </si>
  <si>
    <t>Fixed manufacturing costs</t>
  </si>
  <si>
    <t>Segment gross profit</t>
  </si>
  <si>
    <t>Period OpEx</t>
  </si>
  <si>
    <t>CVP metric</t>
  </si>
  <si>
    <t>Weighted CM ratio</t>
  </si>
  <si>
    <t>DOL, BEP, MoS</t>
  </si>
  <si>
    <t>Total fixed costs</t>
  </si>
  <si>
    <t>Fixed manufacturing + period OpEx</t>
  </si>
  <si>
    <t>Break-even revenue</t>
  </si>
  <si>
    <t>Fixed costs / WACM</t>
  </si>
  <si>
    <t>Margin of safety</t>
  </si>
  <si>
    <t>Revenue - break-even</t>
  </si>
  <si>
    <t>Margin of safety %</t>
  </si>
  <si>
    <t>MoS / revenue</t>
  </si>
  <si>
    <t>Degree of operating leverage</t>
  </si>
  <si>
    <t>CM / operating income</t>
  </si>
  <si>
    <t>S2 Step 1 - Break-Even Point</t>
  </si>
  <si>
    <t>Break-even is calculated from Session 1 Step 9 fixed costs and weighted CM.</t>
  </si>
  <si>
    <t>Metric</t>
  </si>
  <si>
    <t>Linked source / formula</t>
  </si>
  <si>
    <t>Step 9 WACM</t>
  </si>
  <si>
    <t>Actual FY2025 revenue</t>
  </si>
  <si>
    <t>Step 1 revenue</t>
  </si>
  <si>
    <t>Margin above break-even</t>
  </si>
  <si>
    <t>Revenue - BEP</t>
  </si>
  <si>
    <t>CM %</t>
  </si>
  <si>
    <t>BEP revenue</t>
  </si>
  <si>
    <t>Unit driver</t>
  </si>
  <si>
    <t>Activity</t>
  </si>
  <si>
    <t>BEP unit equivalent</t>
  </si>
  <si>
    <t>GWh deployed</t>
  </si>
  <si>
    <t>S2 Step 2 - Margin of Safety</t>
  </si>
  <si>
    <t>MoS = revenue minus break-even revenue. FY2026/FY2027 are planning-horizon checks.</t>
  </si>
  <si>
    <t>MoS</t>
  </si>
  <si>
    <t>MoS %</t>
  </si>
  <si>
    <t>Role</t>
  </si>
  <si>
    <t>Actual comparison</t>
  </si>
  <si>
    <t>Base actual</t>
  </si>
  <si>
    <t>WACM</t>
  </si>
  <si>
    <t>Fixed costs</t>
  </si>
  <si>
    <t>Actual</t>
  </si>
  <si>
    <t>FY2026</t>
  </si>
  <si>
    <t>FY2027</t>
  </si>
  <si>
    <t>S2 Step 3 - Degree of Operating Leverage</t>
  </si>
  <si>
    <t>DOL = contribution margin divided by operating income.</t>
  </si>
  <si>
    <t>DOL</t>
  </si>
  <si>
    <t>Line</t>
  </si>
  <si>
    <t>Base FY2025 revenue</t>
  </si>
  <si>
    <t>Base FY2025 operating income</t>
  </si>
  <si>
    <t>Step 9 OI</t>
  </si>
  <si>
    <t>CM / OI</t>
  </si>
  <si>
    <t>Revenue miss scenario</t>
  </si>
  <si>
    <t>Scenario input</t>
  </si>
  <si>
    <t>Estimated OI change %</t>
  </si>
  <si>
    <t>Revenue miss x DOL</t>
  </si>
  <si>
    <t>Estimated OI impact</t>
  </si>
  <si>
    <t>Base OI x change %</t>
  </si>
  <si>
    <t>Downside operating income</t>
  </si>
  <si>
    <t>Base OI + impact</t>
  </si>
  <si>
    <t>S2 Step 4 - Weighted CM and Mix</t>
  </si>
  <si>
    <t>Mix-only WACM holds FY2025 segment CM rates constant.</t>
  </si>
  <si>
    <t>Auto+Services weight</t>
  </si>
  <si>
    <t>Energy weight</t>
  </si>
  <si>
    <t>Actual WACM</t>
  </si>
  <si>
    <t>Mix-only WACM</t>
  </si>
  <si>
    <t>S2 Step 5 - Budget Type Classification</t>
  </si>
  <si>
    <t>All 11 budget components are labelled by budget type.</t>
  </si>
  <si>
    <t>Order</t>
  </si>
  <si>
    <t>Component</t>
  </si>
  <si>
    <t>Layer</t>
  </si>
  <si>
    <t>Budget type</t>
  </si>
  <si>
    <t>Justification</t>
  </si>
  <si>
    <t>01</t>
  </si>
  <si>
    <t>Sales budget</t>
  </si>
  <si>
    <t>Operating</t>
  </si>
  <si>
    <t>Static plan; flexible for variance</t>
  </si>
  <si>
    <t>Starts from revenue target and scenario range.</t>
  </si>
  <si>
    <t>02</t>
  </si>
  <si>
    <t>Production budget</t>
  </si>
  <si>
    <t>Flexible</t>
  </si>
  <si>
    <t>Flexes with vehicle production and energy deployments.</t>
  </si>
  <si>
    <t>03</t>
  </si>
  <si>
    <t>Direct materials budget</t>
  </si>
  <si>
    <t>Variable with production volume.</t>
  </si>
  <si>
    <t>04</t>
  </si>
  <si>
    <t>Direct labour budget</t>
  </si>
  <si>
    <t>05</t>
  </si>
  <si>
    <t>Manufacturing overhead budget</t>
  </si>
  <si>
    <t>Variable MOH flexes; fixed MOH remains committed.</t>
  </si>
  <si>
    <t>06</t>
  </si>
  <si>
    <t>Budgeted COGS</t>
  </si>
  <si>
    <t>Built from DM, DL, MOH, and inventory flow.</t>
  </si>
  <si>
    <t>07</t>
  </si>
  <si>
    <t>SG&amp;A budget</t>
  </si>
  <si>
    <t>Mostly static with sensitivity</t>
  </si>
  <si>
    <t>Base treats SG&amp;A as fixed; growth is scenario-tested.</t>
  </si>
  <si>
    <t>08</t>
  </si>
  <si>
    <t>Capital budget</t>
  </si>
  <si>
    <t>Financial</t>
  </si>
  <si>
    <t>Zero-based / strategic</t>
  </si>
  <si>
    <t>CapEx must be justified by capacity or technology need.</t>
  </si>
  <si>
    <t>09</t>
  </si>
  <si>
    <t>Budgeted income statement</t>
  </si>
  <si>
    <t>Static output</t>
  </si>
  <si>
    <t>Output from operating budgets.</t>
  </si>
  <si>
    <t>10</t>
  </si>
  <si>
    <t>Cash budget</t>
  </si>
  <si>
    <t>Rolling</t>
  </si>
  <si>
    <t>Updated as collections, CapEx, and working capital timing change.</t>
  </si>
  <si>
    <t>11</t>
  </si>
  <si>
    <t>Pro forma balance sheet</t>
  </si>
  <si>
    <t>Static output with rolling updates</t>
  </si>
  <si>
    <t>Uses cash budget and balance sheet assumptions.</t>
  </si>
  <si>
    <t>S2 Step 6 - Budget Sequence</t>
  </si>
  <si>
    <t>Sales starts the master budget; financial statements finish it.</t>
  </si>
  <si>
    <t>Budget component</t>
  </si>
  <si>
    <t>Feeds from</t>
  </si>
  <si>
    <t>Feeds into</t>
  </si>
  <si>
    <t>Revenue target</t>
  </si>
  <si>
    <t>Sales budget + target finished goods</t>
  </si>
  <si>
    <t>DM, DL, MOH budgets</t>
  </si>
  <si>
    <t>Production units x material standard</t>
  </si>
  <si>
    <t>COGM / Budgeted COGS</t>
  </si>
  <si>
    <t>Production units x labour standard</t>
  </si>
  <si>
    <t>Activity driver + fixed MOH pool</t>
  </si>
  <si>
    <t>DM + DL + MOH + inventory flow</t>
  </si>
  <si>
    <t>Revenue, headcount, support assumptions</t>
  </si>
  <si>
    <t>Strategic capacity and technology plan</t>
  </si>
  <si>
    <t>Cash budget / balance sheet</t>
  </si>
  <si>
    <t>Operating budgets and SG&amp;A</t>
  </si>
  <si>
    <t>Cash budget / pro forma balance sheet</t>
  </si>
  <si>
    <t>Budgeted IS, CapEx, working capital</t>
  </si>
  <si>
    <t>Cash budget and financing assumptions</t>
  </si>
  <si>
    <t>Final financial budget</t>
  </si>
  <si>
    <t>S2 Step 7 - Assumptions and Sensitivity</t>
  </si>
  <si>
    <t>The material drivers are linked to the assumption audit and tested for operating-income impact.</t>
  </si>
  <si>
    <t>Base</t>
  </si>
  <si>
    <t>Rank</t>
  </si>
  <si>
    <t>High</t>
  </si>
  <si>
    <t>Medium</t>
  </si>
  <si>
    <t>Low</t>
  </si>
  <si>
    <t>Planning line</t>
  </si>
  <si>
    <t>Formula / assumption</t>
  </si>
  <si>
    <t>FY2026 base revenue</t>
  </si>
  <si>
    <t>R&amp;D budget</t>
  </si>
  <si>
    <t>FY2025 R&amp;D x A16</t>
  </si>
  <si>
    <t>FY2025 SG&amp;A x A17</t>
  </si>
  <si>
    <t>Base operating income</t>
  </si>
  <si>
    <t>Revenue x GM - OpEx</t>
  </si>
  <si>
    <t>Base-to-downside</t>
  </si>
  <si>
    <t>OI impact</t>
  </si>
  <si>
    <t>OI impact %</t>
  </si>
  <si>
    <t>Gross margin downside</t>
  </si>
  <si>
    <t>18.0% to 16.0%</t>
  </si>
  <si>
    <t>Revenue downside</t>
  </si>
  <si>
    <t>$95,023M to $87,487M</t>
  </si>
  <si>
    <t>Combined downside</t>
  </si>
  <si>
    <t>Revenue + margin + recurring OpEx</t>
  </si>
  <si>
    <t>Cross-Step Verification</t>
  </si>
  <si>
    <t>Formula checks that tie Session 1 and Session 2 together.</t>
  </si>
  <si>
    <t>Check</t>
  </si>
  <si>
    <t>Rule</t>
  </si>
  <si>
    <t>Numbers shown</t>
  </si>
  <si>
    <t>Test value</t>
  </si>
  <si>
    <t>Status</t>
  </si>
  <si>
    <t>COGS bridge</t>
  </si>
  <si>
    <t>Beginning FG + COGM - ending FG = reported COGS</t>
  </si>
  <si>
    <t>CM bridge</t>
  </si>
  <si>
    <t>Contribution margin - fixed manufacturing costs = gross profit</t>
  </si>
  <si>
    <t>BEP identity</t>
  </si>
  <si>
    <t>BEP x WACM = fixed costs</t>
  </si>
  <si>
    <t>DOL identity</t>
  </si>
  <si>
    <t>Contribution margin / operating income = DOL</t>
  </si>
  <si>
    <t>Sensitivity rank</t>
  </si>
  <si>
    <t>Gross-margin downside impact exceeds revenue downside impact</t>
  </si>
  <si>
    <t>Additional check</t>
  </si>
  <si>
    <t>BEP vs MoS</t>
  </si>
  <si>
    <t>MoS = Revenue - BEP</t>
  </si>
  <si>
    <t>Revenue miss</t>
  </si>
  <si>
    <t>Revenue miss x DOL = OI impact %</t>
  </si>
  <si>
    <t>Absorption tie</t>
  </si>
  <si>
    <t>Absorption OI = reported operating income</t>
  </si>
  <si>
    <t>Workbook Formula and Assumption Audit</t>
  </si>
  <si>
    <t>Controls for source inputs, formulas, and assumption-linked cells.</t>
  </si>
  <si>
    <t>Control</t>
  </si>
  <si>
    <t>Evidence</t>
  </si>
  <si>
    <t>Workbook rule</t>
  </si>
  <si>
    <t>Where to check</t>
  </si>
  <si>
    <t>Source inputs</t>
  </si>
  <si>
    <t>Tesla-reported historical values are input only in 01_Source_Data.</t>
  </si>
  <si>
    <t>01_Source_Data</t>
  </si>
  <si>
    <t>Assumption inputs</t>
  </si>
  <si>
    <t>Managerial or planning inputs are input only in 02_Assumptions_Audit and filled amber.</t>
  </si>
  <si>
    <t>02_Assumptions_Audit</t>
  </si>
  <si>
    <t>Formula sheets</t>
  </si>
  <si>
    <t>Session 1 and Session 2 outputs calculate from source and assumption cells.</t>
  </si>
  <si>
    <t>Sheets 03-19</t>
  </si>
  <si>
    <t>Session 2 steps</t>
  </si>
  <si>
    <t>Session 2 is split into seven separate step tabs.</t>
  </si>
  <si>
    <t>Sheets 12-18</t>
  </si>
  <si>
    <t>Checks</t>
  </si>
  <si>
    <t>Cross-step identities must show PASS after Excel recalculates.</t>
  </si>
  <si>
    <t>19_Cross_Step_Checks</t>
  </si>
  <si>
    <t>Amber rule</t>
  </si>
  <si>
    <t>Amber formula cells directly reference an A01-A20 assumption.</t>
  </si>
  <si>
    <t>Any calculation sheet</t>
  </si>
  <si>
    <t>References</t>
  </si>
  <si>
    <t>Sources linked from the website as uploaded PDFs or direct source links.</t>
  </si>
  <si>
    <t>Used for</t>
  </si>
  <si>
    <t>Link</t>
  </si>
  <si>
    <t>SRC-01</t>
  </si>
  <si>
    <t>Tesla FY2025 Form 10-K</t>
  </si>
  <si>
    <t>FY2025 income statement, segment cost, inventory</t>
  </si>
  <si>
    <t>https://www.sec.gov/Archives/edgar/data/1318605/000162828026003952/tsla-20251231.htm</t>
  </si>
  <si>
    <t>SRC-02</t>
  </si>
  <si>
    <t>Tesla FY2024 Form 10-K</t>
  </si>
  <si>
    <t>FY2024 income statement, segment cost, inventory, comparative checks</t>
  </si>
  <si>
    <t>https://www.sec.gov/Archives/edgar/data/1318605/000162828025003063/tsla-20241231.htm</t>
  </si>
  <si>
    <t>SRC-03</t>
  </si>
  <si>
    <t>Tesla FY2023 Form 10-K</t>
  </si>
  <si>
    <t>FY2023 income statement, segment cost, comparative checks</t>
  </si>
  <si>
    <t>https://www.sec.gov/Archives/edgar/data/1318605/000162828024002390/tsla-20231231.htm</t>
  </si>
  <si>
    <t>SRC-04</t>
  </si>
  <si>
    <t>Tesla FY2022 Form 10-K</t>
  </si>
  <si>
    <t>FY2022 income statement, segment cost, comparative checks</t>
  </si>
  <si>
    <t>https://www.sec.gov/Archives/edgar/data/1318605/000095017023001409/tsla-20221231.htm</t>
  </si>
  <si>
    <t>SRC-05</t>
  </si>
  <si>
    <t>Tesla FY2025 production/delivery release</t>
  </si>
  <si>
    <t>Vehicles produced and delivered</t>
  </si>
  <si>
    <t>https://ir.tesla.com/press-release/tesla-fourth-quarter-2025-production-deliveries-deployments</t>
  </si>
  <si>
    <t>SRC-06</t>
  </si>
  <si>
    <t>Session 1 PDF</t>
  </si>
  <si>
    <t>Nine-step model structure</t>
  </si>
  <si>
    <t>sources/session-1-case-guide.pdf</t>
  </si>
  <si>
    <t>SRC-07</t>
  </si>
  <si>
    <t>Session 2 PDF</t>
  </si>
  <si>
    <t>CVP, budget sequence, assumptions, sensitivity, checks</t>
  </si>
  <si>
    <t>sources/session-2-case-guide.pdf</t>
  </si>
  <si>
    <t>SRC-08</t>
  </si>
  <si>
    <t>GSB Case Study Basic Data</t>
  </si>
  <si>
    <t>Teaching case reference</t>
  </si>
  <si>
    <t>sources/gsb-case-study-basic-data.pdf</t>
  </si>
  <si>
    <t>SRC-09</t>
  </si>
  <si>
    <t>Project assumption audit</t>
  </si>
  <si>
    <t>Formula-linked assumption register and validation</t>
  </si>
  <si>
    <t>02_Assumptions_Audit sheet</t>
  </si>
  <si>
    <t>SRC-10</t>
  </si>
  <si>
    <t>Session 3 guide</t>
  </si>
  <si>
    <t>Operating-budget requirements, eight steps, sensitivity, and variance-plan scope</t>
  </si>
  <si>
    <t>sources/session-3-case-guide.docx</t>
  </si>
  <si>
    <t>SRC-11</t>
  </si>
  <si>
    <t>Session 3 lecture deck</t>
  </si>
  <si>
    <t>Operating-budget construction examples and variance concepts</t>
  </si>
  <si>
    <t>sources/obf-s3.pptx</t>
  </si>
  <si>
    <t>SRC-12</t>
  </si>
  <si>
    <t>Updated linked workbook</t>
  </si>
  <si>
    <t>Session 1 + 2 + 3 formula workbook</t>
  </si>
  <si>
    <t>deliverables/Tesla_OBF_Session1_Model.xlsx?v=obf-files-v28</t>
  </si>
  <si>
    <t>Session 3 Assumptions and Source Inputs</t>
  </si>
  <si>
    <t>Session 3 is separated from the Assessment 2 report: FY2026 operating budget, using FY2025 as the source anchor.</t>
  </si>
  <si>
    <t>Input</t>
  </si>
  <si>
    <t>Tag</t>
  </si>
  <si>
    <t>Unit</t>
  </si>
  <si>
    <t>Source / validation</t>
  </si>
  <si>
    <t>S3-G01</t>
  </si>
  <si>
    <t>FY2025 Auto + Services revenue</t>
  </si>
  <si>
    <t>Given</t>
  </si>
  <si>
    <t>$M</t>
  </si>
  <si>
    <t>S3-G02</t>
  </si>
  <si>
    <t>FY2025 Auto + Services cost</t>
  </si>
  <si>
    <t>S3-G03</t>
  </si>
  <si>
    <t>FY2025 delivered vehicles</t>
  </si>
  <si>
    <t>units</t>
  </si>
  <si>
    <t>S3-G04</t>
  </si>
  <si>
    <t>FY2025 total revenue</t>
  </si>
  <si>
    <t>S3-A01</t>
  </si>
  <si>
    <t>Budget year</t>
  </si>
  <si>
    <t>Assumed</t>
  </si>
  <si>
    <t>planning year</t>
  </si>
  <si>
    <t>Session 3 method: next operating budget year</t>
  </si>
  <si>
    <t>S3-A02</t>
  </si>
  <si>
    <t>Representative unit</t>
  </si>
  <si>
    <t>Auto + Services vehicle-equivalent</t>
  </si>
  <si>
    <t>unit</t>
  </si>
  <si>
    <t>One segment-level representative unit</t>
  </si>
  <si>
    <t>S3-A03</t>
  </si>
  <si>
    <t>FY2026 total revenue planning base</t>
  </si>
  <si>
    <t>Carried from Session 2 planning scenario</t>
  </si>
  <si>
    <t>S3-C01</t>
  </si>
  <si>
    <t>Auto + Services revenue mix</t>
  </si>
  <si>
    <t>Calculated</t>
  </si>
  <si>
    <t>%</t>
  </si>
  <si>
    <t>FY2025 segment revenue / FY2025 total revenue</t>
  </si>
  <si>
    <t>S3-C02</t>
  </si>
  <si>
    <t>FY2026 Auto + Services revenue</t>
  </si>
  <si>
    <t>FY2026 total revenue x FY2025 segment mix</t>
  </si>
  <si>
    <t>S3-A04</t>
  </si>
  <si>
    <t>FY2026 budgeted unit sales</t>
  </si>
  <si>
    <t>Planning volume; no Q2026 actuals used</t>
  </si>
  <si>
    <t>S3-C03</t>
  </si>
  <si>
    <t>FY2026 selling price per unit</t>
  </si>
  <si>
    <t>$/unit</t>
  </si>
  <si>
    <t>Segment revenue / budgeted units</t>
  </si>
  <si>
    <t>S3-C04</t>
  </si>
  <si>
    <t>FY2025 Auto + Services cost rate</t>
  </si>
  <si>
    <t>Segment cost / segment revenue</t>
  </si>
  <si>
    <t>S3-C05</t>
  </si>
  <si>
    <t>FY2026 budgeted COGS</t>
  </si>
  <si>
    <t>Budgeted revenue x cost rate</t>
  </si>
  <si>
    <t>S3-C06</t>
  </si>
  <si>
    <t>FY2026 budgeted unit cost</t>
  </si>
  <si>
    <t>Budgeted COGS / budgeted units</t>
  </si>
  <si>
    <t>Direct material share</t>
  </si>
  <si>
    <t>Existing Session 1 assumption A01</t>
  </si>
  <si>
    <t>Direct labour share</t>
  </si>
  <si>
    <t>Existing Session 1 assumption A02</t>
  </si>
  <si>
    <t>MOH share</t>
  </si>
  <si>
    <t>Existing Session 1 assumption A03</t>
  </si>
  <si>
    <t>S3-C07</t>
  </si>
  <si>
    <t>Direct material per unit</t>
  </si>
  <si>
    <t>Unit cost x direct material share</t>
  </si>
  <si>
    <t>S3-C08</t>
  </si>
  <si>
    <t>Direct labour per unit</t>
  </si>
  <si>
    <t>Unit cost x direct labour share</t>
  </si>
  <si>
    <t>S3-C09</t>
  </si>
  <si>
    <t>MOH per unit</t>
  </si>
  <si>
    <t>Unit cost x MOH share</t>
  </si>
  <si>
    <t>S3-A05</t>
  </si>
  <si>
    <t>Q1 sales mix</t>
  </si>
  <si>
    <t>Quarterly phasing assumption</t>
  </si>
  <si>
    <t>Q2 sales mix</t>
  </si>
  <si>
    <t>Q3 sales mix</t>
  </si>
  <si>
    <t>Q4 sales mix</t>
  </si>
  <si>
    <t>S3-C10</t>
  </si>
  <si>
    <t>Sales mix check</t>
  </si>
  <si>
    <t>Must equal 100%</t>
  </si>
  <si>
    <t>S3-A06</t>
  </si>
  <si>
    <t>Q1 FY2027 sales input</t>
  </si>
  <si>
    <t>Used only for FY2026 Q4 closing FG</t>
  </si>
  <si>
    <t>S3-A07</t>
  </si>
  <si>
    <t>Finished-goods buffer</t>
  </si>
  <si>
    <t>% next-quarter sales</t>
  </si>
  <si>
    <t>Chase-with-buffer strategy</t>
  </si>
  <si>
    <t>S3-A08</t>
  </si>
  <si>
    <t>Material kit per unit</t>
  </si>
  <si>
    <t>kit/unit</t>
  </si>
  <si>
    <t>One direct material</t>
  </si>
  <si>
    <t>S3-A09</t>
  </si>
  <si>
    <t>Raw-material buffer</t>
  </si>
  <si>
    <t>% next production</t>
  </si>
  <si>
    <t>Separates usage from purchases</t>
  </si>
  <si>
    <t>S3-A10</t>
  </si>
  <si>
    <t>Labour hours per unit</t>
  </si>
  <si>
    <t>hours/unit</t>
  </si>
  <si>
    <t>Representative labour standard</t>
  </si>
  <si>
    <t>S3-C11</t>
  </si>
  <si>
    <t>Wage rate</t>
  </si>
  <si>
    <t>$/hour</t>
  </si>
  <si>
    <t>Direct labour per unit / hours per unit</t>
  </si>
  <si>
    <t>S3-A11</t>
  </si>
  <si>
    <t>Quarterly labour capacity</t>
  </si>
  <si>
    <t>hours</t>
  </si>
  <si>
    <t>Capacity check input</t>
  </si>
  <si>
    <t>S3-A12</t>
  </si>
  <si>
    <t>Fixed MOH escalation</t>
  </si>
  <si>
    <t>Planning escalation from Session 1 fixed MOH</t>
  </si>
  <si>
    <t>Fixed MOH budget</t>
  </si>
  <si>
    <t>FY2025 fixed manufacturing pool escalated for FY2026</t>
  </si>
  <si>
    <t>S3-A13</t>
  </si>
  <si>
    <t>Planning assumption carried from Session 2</t>
  </si>
  <si>
    <t>S3-A14</t>
  </si>
  <si>
    <t>Variable SG&amp;A share</t>
  </si>
  <si>
    <t>Managerial SG&amp;A behavior split</t>
  </si>
  <si>
    <t>S3-A15</t>
  </si>
  <si>
    <t>Sensitivity range</t>
  </si>
  <si>
    <t>+/-</t>
  </si>
  <si>
    <t>Session 3 two-driver sensitivity</t>
  </si>
  <si>
    <t>Session 3 Step 1 - Sales Budget</t>
  </si>
  <si>
    <t>Budgeted revenue = budgeted unit sales x selling price per representative unit.</t>
  </si>
  <si>
    <t>Q1</t>
  </si>
  <si>
    <t>Q2</t>
  </si>
  <si>
    <t>Q3</t>
  </si>
  <si>
    <t>Q4</t>
  </si>
  <si>
    <t>Sales mix</t>
  </si>
  <si>
    <t>Phasing sums to 100%</t>
  </si>
  <si>
    <t>Budgeted unit sales</t>
  </si>
  <si>
    <t>Ties to FY2026 budgeted units</t>
  </si>
  <si>
    <t>Selling price per unit</t>
  </si>
  <si>
    <t>Revenue / units</t>
  </si>
  <si>
    <t>Budgeted revenue ($M)</t>
  </si>
  <si>
    <t>Ties to FY2026 segment revenue</t>
  </si>
  <si>
    <t>Revenue check</t>
  </si>
  <si>
    <t>Should equal zero</t>
  </si>
  <si>
    <t>Session 3 Step 2 - Production Budget</t>
  </si>
  <si>
    <t>Units to produce = budgeted sales + desired closing FG - opening FG.</t>
  </si>
  <si>
    <t>Budgeted sales</t>
  </si>
  <si>
    <t>From Step 1</t>
  </si>
  <si>
    <t>Opening FG</t>
  </si>
  <si>
    <t>Prior quarter closing; Q1 uses policy</t>
  </si>
  <si>
    <t>Desired closing FG</t>
  </si>
  <si>
    <t>Q4 uses Q1 FY2027 sales planning input</t>
  </si>
  <si>
    <t>Total units required</t>
  </si>
  <si>
    <t>Sales plus closing FG</t>
  </si>
  <si>
    <t>Units to produce</t>
  </si>
  <si>
    <t>Output for Steps 3-5</t>
  </si>
  <si>
    <t>Build / (drawdown)</t>
  </si>
  <si>
    <t>Production minus sales</t>
  </si>
  <si>
    <t>Strategy</t>
  </si>
  <si>
    <t>Chase with buffer</t>
  </si>
  <si>
    <t>Session 3 production strategy</t>
  </si>
  <si>
    <t>Session 3 Step 3 - Direct Materials Budget</t>
  </si>
  <si>
    <t>One direct material: vehicle material kit. Usage builds unit cost; purchases feed Session 4 cash planning.</t>
  </si>
  <si>
    <t>From production budget</t>
  </si>
  <si>
    <t>Material kits per unit</t>
  </si>
  <si>
    <t>Kits used</t>
  </si>
  <si>
    <t>Production x kit standard</t>
  </si>
  <si>
    <t>Opening RM</t>
  </si>
  <si>
    <t>Prior quarter closing</t>
  </si>
  <si>
    <t>Closing RM</t>
  </si>
  <si>
    <t>8% next production/sales proxy</t>
  </si>
  <si>
    <t>Kits to buy</t>
  </si>
  <si>
    <t>Used + closing - opening</t>
  </si>
  <si>
    <t>DM cost per kit</t>
  </si>
  <si>
    <t>Unit cost x DM share</t>
  </si>
  <si>
    <t>Usage cost ($M)</t>
  </si>
  <si>
    <t>Builds unit cost</t>
  </si>
  <si>
    <t>Purchase cost ($M)</t>
  </si>
  <si>
    <t>Cash-budget handoff</t>
  </si>
  <si>
    <t>Session 3 Step 4 - Direct Labour Budget</t>
  </si>
  <si>
    <t>Labour hours = units to produce x hours per unit; labour cost = hours x wage rate.</t>
  </si>
  <si>
    <t>Hours per unit</t>
  </si>
  <si>
    <t>Labour standard</t>
  </si>
  <si>
    <t>Labour hours</t>
  </si>
  <si>
    <t>Units x hours</t>
  </si>
  <si>
    <t>DL per unit / hours per unit</t>
  </si>
  <si>
    <t>Labour cost ($M)</t>
  </si>
  <si>
    <t>Hours x wage rate</t>
  </si>
  <si>
    <t>Capacity hours</t>
  </si>
  <si>
    <t>Spare / (gap) hours</t>
  </si>
  <si>
    <t>Negative = overtime/hiring needed</t>
  </si>
  <si>
    <t>Session 3 Step 5 - Manufacturing Overhead Budget</t>
  </si>
  <si>
    <t>Total MOH = fixed MOH + variable MOH rate x labour hours.</t>
  </si>
  <si>
    <t>From labour budget</t>
  </si>
  <si>
    <t>Annual variable MOH ($M)</t>
  </si>
  <si>
    <t>MOH per unit on production less fixed MOH</t>
  </si>
  <si>
    <t>Variable MOH rate</t>
  </si>
  <si>
    <t>Annual variable MOH / annual hours</t>
  </si>
  <si>
    <t>Variable MOH ($M)</t>
  </si>
  <si>
    <t>Hours x variable MOH rate</t>
  </si>
  <si>
    <t>Fixed MOH ($M)</t>
  </si>
  <si>
    <t>Total MOH ($M)</t>
  </si>
  <si>
    <t>Variable + fixed MOH</t>
  </si>
  <si>
    <t>OH rate / hour</t>
  </si>
  <si>
    <t>MOH per unit / hours per unit</t>
  </si>
  <si>
    <t>Depreciation note</t>
  </si>
  <si>
    <t>Included in unit cost</t>
  </si>
  <si>
    <t>Exclude from cash payments later</t>
  </si>
  <si>
    <t>Session 3 treatment</t>
  </si>
  <si>
    <t>Session 3 Step 6 - Unit Cost and Budgeted COGS</t>
  </si>
  <si>
    <t>Unit cost values units sold and finished-goods inventory.</t>
  </si>
  <si>
    <t>Direct materials per unit</t>
  </si>
  <si>
    <t>Step 3</t>
  </si>
  <si>
    <t>Step 4</t>
  </si>
  <si>
    <t>Budgeted unit cost</t>
  </si>
  <si>
    <t>DM + DL + MOH</t>
  </si>
  <si>
    <t>Units sold</t>
  </si>
  <si>
    <t>From sales budget</t>
  </si>
  <si>
    <t>Unit cost</t>
  </si>
  <si>
    <t>From unit-cost build</t>
  </si>
  <si>
    <t>Budgeted COGS ($M)</t>
  </si>
  <si>
    <t>Units sold x unit cost</t>
  </si>
  <si>
    <t>Closing FG units</t>
  </si>
  <si>
    <t>Closing FG value ($M)</t>
  </si>
  <si>
    <t>Closing FG x unit cost</t>
  </si>
  <si>
    <t>Verification</t>
  </si>
  <si>
    <t>Opening FG value</t>
  </si>
  <si>
    <t>Opening FG x unit cost</t>
  </si>
  <si>
    <t>COGM</t>
  </si>
  <si>
    <t>Units produced x unit cost</t>
  </si>
  <si>
    <t>Closing FG value</t>
  </si>
  <si>
    <t>Opening FG + COGM - closing FG</t>
  </si>
  <si>
    <t>From units sold x unit cost</t>
  </si>
  <si>
    <t>Session 3 Step 7 - SG&amp;A Budget and Budgeted P&amp;L</t>
  </si>
  <si>
    <t>The budgeted income statement is a financial-budget output supplied by the operating budgets.</t>
  </si>
  <si>
    <t>SG&amp;A line</t>
  </si>
  <si>
    <t>FY2026 segment SG&amp;A ($M)</t>
  </si>
  <si>
    <t>FY2025 SG&amp;A x growth x segment mix</t>
  </si>
  <si>
    <t>Variable SG&amp;A per unit</t>
  </si>
  <si>
    <t>Variable SG&amp;A / units sold</t>
  </si>
  <si>
    <t>Variable SG&amp;A ($M)</t>
  </si>
  <si>
    <t>Units sold x variable SG&amp;A per unit</t>
  </si>
  <si>
    <t>Fixed SG&amp;A ($M)</t>
  </si>
  <si>
    <t>Fixed share spread over four quarters</t>
  </si>
  <si>
    <t>Total SG&amp;A ($M)</t>
  </si>
  <si>
    <t>Variable + fixed SG&amp;A</t>
  </si>
  <si>
    <t>P&amp;L line</t>
  </si>
  <si>
    <t>% Revenue</t>
  </si>
  <si>
    <t>COGS</t>
  </si>
  <si>
    <t>Session 3 Step 8 - Flexible Budget and Variance Plan</t>
  </si>
  <si>
    <t>Concepts and sensitivity only; actual variance calculations are for Session 4.</t>
  </si>
  <si>
    <t>Control item</t>
  </si>
  <si>
    <t>Formula / note</t>
  </si>
  <si>
    <t>Owner</t>
  </si>
  <si>
    <t>Static budget units</t>
  </si>
  <si>
    <t>Original FY2026 activity level</t>
  </si>
  <si>
    <t>Finance</t>
  </si>
  <si>
    <t>Variable MOH per unit</t>
  </si>
  <si>
    <t>Annual variable MOH / units produced</t>
  </si>
  <si>
    <t>Production</t>
  </si>
  <si>
    <t>Sales / admin</t>
  </si>
  <si>
    <t>Variable cost per unit</t>
  </si>
  <si>
    <t>DM + DL + variable MOH + variable SG&amp;A</t>
  </si>
  <si>
    <t>Finance / production</t>
  </si>
  <si>
    <t>Fixed cost base ($M)</t>
  </si>
  <si>
    <t>Fixed MOH + fixed SG&amp;A</t>
  </si>
  <si>
    <t>Flexible budget formula</t>
  </si>
  <si>
    <t>Fixed cost + variable cost per unit x actual units</t>
  </si>
  <si>
    <t>Design only in Session 3</t>
  </si>
  <si>
    <t>Session 4 handoff</t>
  </si>
  <si>
    <t>Question answered</t>
  </si>
  <si>
    <t>Session 4 formula</t>
  </si>
  <si>
    <t>Sales price / volume</t>
  </si>
  <si>
    <t>Did units or price differ from plan?</t>
  </si>
  <si>
    <t>Actual sales versus flexible sales benchmark</t>
  </si>
  <si>
    <t>Sales / commercial</t>
  </si>
  <si>
    <t>Direct material price / usage</t>
  </si>
  <si>
    <t>Did kit price or kit usage differ?</t>
  </si>
  <si>
    <t>Price and usage variance</t>
  </si>
  <si>
    <t>Purchasing / production</t>
  </si>
  <si>
    <t>Direct labour rate / efficiency</t>
  </si>
  <si>
    <t>Did wage rate or hours per unit differ?</t>
  </si>
  <si>
    <t>Rate and efficiency variance</t>
  </si>
  <si>
    <t>MOH spending / volume</t>
  </si>
  <si>
    <t>Was factory overhead controlled?</t>
  </si>
  <si>
    <t>Actual OH versus flexible OH</t>
  </si>
  <si>
    <t>Factory management</t>
  </si>
  <si>
    <t>SG&amp;A spending</t>
  </si>
  <si>
    <t>Was SG&amp;A controlled for actual units?</t>
  </si>
  <si>
    <t>Actual SG&amp;A versus flexible SG&amp;A</t>
  </si>
  <si>
    <t>Department managers</t>
  </si>
  <si>
    <t>Change</t>
  </si>
  <si>
    <t>Downside OI</t>
  </si>
  <si>
    <t>Upside OI</t>
  </si>
  <si>
    <t>Direct material kit price</t>
  </si>
  <si>
    <t>Sales volume</t>
  </si>
  <si>
    <t>Session 3 QA Checks</t>
  </si>
  <si>
    <t>All Session 3 schedules tie together without plug numbers.</t>
  </si>
  <si>
    <t>Quarterly mix = 100%</t>
  </si>
  <si>
    <t>Revenue control</t>
  </si>
  <si>
    <t>Step 1 revenue = FY2026 segment revenue</t>
  </si>
  <si>
    <t>Production bridge</t>
  </si>
  <si>
    <t>Production - sales = change in FG</t>
  </si>
  <si>
    <t>COGS verification</t>
  </si>
  <si>
    <t>Opening FG + COGM - closing FG = COGS</t>
  </si>
  <si>
    <t>SG&amp;A control</t>
  </si>
  <si>
    <t>Variable + fixed SG&amp;A = P&amp;L SG&amp;A</t>
  </si>
  <si>
    <t>Material price impact &gt; volume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</si>
</sst>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;\(\$#,##0\);\-"/>
    <numFmt numFmtId="165" formatCode="0.0%"/>
    <numFmt numFmtId="166" formatCode="\$#,##0"/>
    <numFmt numFmtId="167" formatCode="0.00\x"/>
    <numFmt numFmtId="168" formatCode="#,##0.0"/>
    <numFmt numFmtId="169" formatCode="\$#,##0.0"/>
  </numFmts>
  <fonts count="8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11"/>
      <color rgb="FF0E0E12"/>
      <name val="Calibri"/>
    </font>
    <font>
      <b/>
      <sz val="11"/>
      <color rgb="FFFFFFFF"/>
      <name val="Calibri"/>
    </font>
    <font>
      <b/>
      <sz val="11"/>
      <color rgb="FFE82127"/>
      <name val="Calibri"/>
    </font>
    <font>
      <i/>
      <sz val="11"/>
      <color rgb="FF6A6E78"/>
      <name val="Calibri"/>
    </font>
    <font>
      <b/>
      <sz val="16"/>
      <color rgb="FFF4F7FA"/>
      <name val="Calibri"/>
    </font>
    <font>
      <i/>
      <sz val="11"/>
      <color rgb="FFB8C5D6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E0E12"/>
      </patternFill>
    </fill>
    <fill>
      <patternFill patternType="solid">
        <fgColor rgb="FFFCE8E9"/>
      </patternFill>
    </fill>
    <fill>
      <patternFill patternType="solid">
        <fgColor rgb="FFFAFBFC"/>
      </patternFill>
    </fill>
    <fill>
      <patternFill patternType="solid">
        <fgColor rgb="FFFFF3D8"/>
      </patternFill>
    </fill>
    <fill>
      <patternFill patternType="solid">
        <fgColor rgb="FFE6F2F1"/>
      </patternFill>
    </fill>
    <fill>
      <patternFill patternType="solid">
        <fgColor rgb="FFEEF1F5"/>
      </patternFill>
    </fill>
    <fill>
      <patternFill patternType="solid">
        <fgColor rgb="FF111418"/>
      </patternFill>
    </fill>
    <fill>
      <patternFill patternType="solid">
        <fgColor rgb="FF20242A"/>
      </patternFill>
    </fill>
    <fill>
      <patternFill patternType="solid">
        <fgColor rgb="FFD9EAD3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DEFF3"/>
      </patternFill>
    </fill>
  </fills>
  <borders count="7">
    <border>
      <left/>
      <right/>
      <top/>
      <bottom/>
      <diagonal/>
    </border>
    <border>
      <left style="thin">
        <color rgb="FFD9DDE4"/>
      </left>
      <right style="thin">
        <color rgb="FFD9DDE4"/>
      </right>
      <top style="thin">
        <color rgb="FFD9DDE4"/>
      </top>
      <bottom style="thin">
        <color rgb="FFD9DDE4"/>
      </bottom>
      <diagonal/>
    </border>
    <border>
      <left/>
      <right/>
      <top style="thin">
        <color rgb="FFD9DDE4"/>
      </top>
      <bottom style="thin">
        <color rgb="FFD9DDE4"/>
      </bottom>
      <diagonal/>
    </border>
    <border>
      <left/>
      <right style="thin">
        <color rgb="FFD9DDE4"/>
      </right>
      <top style="thin">
        <color rgb="FFD9DDE4"/>
      </top>
      <bottom style="thin">
        <color rgb="FFD9DDE4"/>
      </bottom>
      <diagonal/>
    </border>
    <border>
      <left style="thin">
        <color rgb="FF2B313A"/>
      </left>
      <right style="thin">
        <color rgb="FF2B313A"/>
      </right>
      <top style="thin">
        <color rgb="FF2B313A"/>
      </top>
      <bottom style="thin">
        <color rgb="FF2B313A"/>
      </bottom>
      <diagonal/>
    </border>
    <border>
      <left/>
      <right/>
      <top style="thin">
        <color rgb="FF2B313A"/>
      </top>
      <bottom style="thin">
        <color rgb="FF2B313A"/>
      </bottom>
      <diagonal/>
    </border>
    <border>
      <left/>
      <right style="thin">
        <color rgb="FF2B313A"/>
      </right>
      <top style="thin">
        <color rgb="FF2B313A"/>
      </top>
      <bottom style="thin">
        <color rgb="FF2B313A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0" fillId="4" borderId="1" xfId="0" applyNumberForma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165" fontId="0" fillId="4" borderId="1" xfId="0" applyNumberFormat="1" applyFill="1" applyBorder="1" applyAlignment="1">
      <alignment vertical="top" wrapText="1"/>
    </xf>
    <xf numFmtId="165" fontId="0" fillId="5" borderId="1" xfId="0" applyNumberForma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164" fontId="0" fillId="5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64" fontId="0" fillId="6" borderId="1" xfId="0" applyNumberFormat="1" applyFill="1" applyBorder="1" applyAlignment="1">
      <alignment vertical="top" wrapText="1"/>
    </xf>
    <xf numFmtId="165" fontId="0" fillId="6" borderId="1" xfId="0" applyNumberFormat="1" applyFill="1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3" fontId="0" fillId="4" borderId="1" xfId="0" applyNumberFormat="1" applyFill="1" applyBorder="1" applyAlignment="1">
      <alignment vertical="top" wrapText="1"/>
    </xf>
    <xf numFmtId="166" fontId="0" fillId="4" borderId="1" xfId="0" applyNumberFormat="1" applyFill="1" applyBorder="1" applyAlignment="1">
      <alignment vertical="top" wrapText="1"/>
    </xf>
    <xf numFmtId="167" fontId="0" fillId="0" borderId="1" xfId="0" applyNumberFormat="1" applyBorder="1" applyAlignment="1">
      <alignment vertical="top" wrapText="1"/>
    </xf>
    <xf numFmtId="168" fontId="0" fillId="0" borderId="1" xfId="0" applyNumberFormat="1" applyBorder="1" applyAlignment="1">
      <alignment vertical="top" wrapText="1"/>
    </xf>
    <xf numFmtId="168" fontId="0" fillId="4" borderId="1" xfId="0" applyNumberFormat="1" applyFill="1" applyBorder="1" applyAlignment="1">
      <alignment vertical="top" wrapText="1"/>
    </xf>
    <xf numFmtId="167" fontId="0" fillId="4" borderId="1" xfId="0" applyNumberFormat="1" applyFill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vertical="center" wrapText="1"/>
    </xf>
    <xf numFmtId="169" fontId="0" fillId="12" borderId="4" xfId="0" applyNumberFormat="1" applyFill="1" applyBorder="1" applyAlignment="1">
      <alignment vertical="center" wrapText="1"/>
    </xf>
    <xf numFmtId="3" fontId="0" fillId="12" borderId="4" xfId="0" applyNumberFormat="1" applyFill="1" applyBorder="1" applyAlignment="1">
      <alignment vertical="center" wrapText="1"/>
    </xf>
    <xf numFmtId="0" fontId="0" fillId="12" borderId="4" xfId="0" applyFill="1" applyBorder="1" applyAlignment="1">
      <alignment vertical="center" wrapText="1"/>
    </xf>
    <xf numFmtId="0" fontId="0" fillId="11" borderId="4" xfId="0" applyFill="1" applyBorder="1" applyAlignment="1">
      <alignment vertical="center" wrapText="1"/>
    </xf>
    <xf numFmtId="169" fontId="0" fillId="11" borderId="4" xfId="0" applyNumberFormat="1" applyFill="1" applyBorder="1" applyAlignment="1">
      <alignment vertical="center" wrapText="1"/>
    </xf>
    <xf numFmtId="165" fontId="0" fillId="12" borderId="4" xfId="0" applyNumberFormat="1" applyFill="1" applyBorder="1" applyAlignment="1">
      <alignment vertical="center" wrapText="1"/>
    </xf>
    <xf numFmtId="3" fontId="0" fillId="11" borderId="4" xfId="0" applyNumberFormat="1" applyFill="1" applyBorder="1" applyAlignment="1">
      <alignment vertical="center" wrapText="1"/>
    </xf>
    <xf numFmtId="165" fontId="0" fillId="11" borderId="4" xfId="0" applyNumberFormat="1" applyFill="1" applyBorder="1" applyAlignment="1">
      <alignment vertical="center" wrapText="1"/>
    </xf>
    <xf numFmtId="0" fontId="0" fillId="13" borderId="4" xfId="0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0" fillId="0" borderId="0" xfId="0"/>
    <xf numFmtId="0" fontId="2" fillId="3" borderId="0" xfId="0" applyFont="1" applyFill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7" fillId="0" borderId="4" xfId="0" applyFont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E0E12"/>
    <pageSetUpPr fitToPage="1"/>
  </sheetPr>
  <dimension ref="A1:H8"/>
  <sheetViews>
    <sheetView showGridLines="0" tabSelected="1" workbookViewId="0">
      <pane ySplit="3" topLeftCell="A4" activePane="bottomLeft" state="frozen"/>
      <selection pane="bottomLeft" sqref="A1:H1"/>
    </sheetView>
  </sheetViews>
  <sheetFormatPr defaultRowHeight="14.4" x14ac:dyDescent="0.3"/>
  <cols>
    <col min="1" max="2" width="44" customWidth="1"/>
    <col min="3" max="8" width="11" customWidth="1"/>
  </cols>
  <sheetData>
    <row r="1" spans="1:8" ht="28.05" customHeight="1" x14ac:dyDescent="0.3">
      <c r="A1" s="42" t="s">
        <v>0</v>
      </c>
      <c r="B1" s="40"/>
      <c r="C1" s="40"/>
      <c r="D1" s="40"/>
      <c r="E1" s="40"/>
      <c r="F1" s="40"/>
      <c r="G1" s="40"/>
      <c r="H1" s="41"/>
    </row>
    <row r="2" spans="1:8" ht="24" customHeight="1" x14ac:dyDescent="0.3">
      <c r="A2" s="39" t="s">
        <v>1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6" t="s">
        <v>2</v>
      </c>
      <c r="B4" s="26" t="s">
        <v>3</v>
      </c>
      <c r="C4" s="25"/>
      <c r="D4" s="25"/>
      <c r="E4" s="25"/>
      <c r="F4" s="25"/>
      <c r="G4" s="25"/>
      <c r="H4" s="25"/>
    </row>
    <row r="5" spans="1:8" ht="28.8" x14ac:dyDescent="0.3">
      <c r="A5" s="25" t="s">
        <v>4</v>
      </c>
      <c r="B5" s="25" t="s">
        <v>5</v>
      </c>
      <c r="C5" s="25"/>
      <c r="D5" s="25"/>
      <c r="E5" s="25"/>
      <c r="F5" s="25"/>
      <c r="G5" s="25"/>
      <c r="H5" s="25"/>
    </row>
    <row r="6" spans="1:8" ht="28.8" x14ac:dyDescent="0.3">
      <c r="A6" s="27" t="s">
        <v>6</v>
      </c>
      <c r="B6" s="27" t="s">
        <v>7</v>
      </c>
      <c r="C6" s="25"/>
      <c r="D6" s="25"/>
      <c r="E6" s="25"/>
      <c r="F6" s="25"/>
      <c r="G6" s="25"/>
      <c r="H6" s="25"/>
    </row>
    <row r="7" spans="1:8" ht="28.8" x14ac:dyDescent="0.3">
      <c r="A7" s="25" t="s">
        <v>8</v>
      </c>
      <c r="B7" s="25" t="s">
        <v>9</v>
      </c>
      <c r="C7" s="25"/>
      <c r="D7" s="25"/>
      <c r="E7" s="25"/>
      <c r="F7" s="25"/>
      <c r="G7" s="25"/>
      <c r="H7" s="25"/>
    </row>
    <row r="8" spans="1:8" ht="28.8" x14ac:dyDescent="0.3">
      <c r="A8" s="27" t="s">
        <v>10</v>
      </c>
      <c r="B8" s="27" t="s">
        <v>11</v>
      </c>
      <c r="C8" s="25"/>
      <c r="D8" s="25"/>
      <c r="E8" s="25"/>
      <c r="F8" s="25"/>
      <c r="G8" s="25"/>
      <c r="H8" s="25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37B3E"/>
    <pageSetUpPr fitToPage="1"/>
  </sheetPr>
  <dimension ref="A1:F10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25" customWidth="1"/>
    <col min="3" max="3" width="33" customWidth="1"/>
    <col min="4" max="6" width="10" customWidth="1"/>
  </cols>
  <sheetData>
    <row r="1" spans="1:6" ht="28.05" customHeight="1" x14ac:dyDescent="0.3">
      <c r="A1" s="43" t="s">
        <v>340</v>
      </c>
      <c r="B1" s="44"/>
      <c r="C1" s="44"/>
      <c r="D1" s="44"/>
      <c r="E1" s="44"/>
      <c r="F1" s="44"/>
    </row>
    <row r="2" spans="1:6" ht="24" customHeight="1" x14ac:dyDescent="0.3">
      <c r="A2" s="45" t="s">
        <v>341</v>
      </c>
      <c r="B2" s="44"/>
      <c r="C2" s="44"/>
      <c r="D2" s="44"/>
      <c r="E2" s="44"/>
      <c r="F2" s="44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2" t="s">
        <v>14</v>
      </c>
      <c r="B4" s="2" t="s">
        <v>320</v>
      </c>
      <c r="C4" s="2" t="s">
        <v>292</v>
      </c>
      <c r="D4" s="1"/>
      <c r="E4" s="1"/>
      <c r="F4" s="1"/>
    </row>
    <row r="5" spans="1:6" x14ac:dyDescent="0.3">
      <c r="A5" s="3" t="s">
        <v>342</v>
      </c>
      <c r="B5" s="5">
        <f>'01_Source_Data'!C39</f>
        <v>3940</v>
      </c>
      <c r="C5" s="3" t="s">
        <v>343</v>
      </c>
      <c r="D5" s="1"/>
      <c r="E5" s="1"/>
      <c r="F5" s="1"/>
    </row>
    <row r="6" spans="1:6" x14ac:dyDescent="0.3">
      <c r="A6" s="4" t="s">
        <v>338</v>
      </c>
      <c r="B6" s="6">
        <f>'08_S1_Step6_COGM'!B14</f>
        <v>78642</v>
      </c>
      <c r="C6" s="4" t="s">
        <v>121</v>
      </c>
      <c r="D6" s="1"/>
      <c r="E6" s="1"/>
      <c r="F6" s="1"/>
    </row>
    <row r="7" spans="1:6" x14ac:dyDescent="0.3">
      <c r="A7" s="3" t="s">
        <v>344</v>
      </c>
      <c r="B7" s="5">
        <f>'01_Source_Data'!D39</f>
        <v>4849</v>
      </c>
      <c r="C7" s="3" t="s">
        <v>345</v>
      </c>
      <c r="D7" s="1"/>
      <c r="E7" s="1"/>
      <c r="F7" s="1"/>
    </row>
    <row r="8" spans="1:6" x14ac:dyDescent="0.3">
      <c r="A8" s="4" t="s">
        <v>346</v>
      </c>
      <c r="B8" s="6">
        <f>B5+B6-B7</f>
        <v>77733</v>
      </c>
      <c r="C8" s="4" t="s">
        <v>347</v>
      </c>
      <c r="D8" s="1"/>
      <c r="E8" s="1"/>
      <c r="F8" s="1"/>
    </row>
    <row r="9" spans="1:6" x14ac:dyDescent="0.3">
      <c r="A9" s="3" t="s">
        <v>348</v>
      </c>
      <c r="B9" s="5">
        <f>'03_S1_Step1_IS'!E8</f>
        <v>77733</v>
      </c>
      <c r="C9" s="3" t="s">
        <v>349</v>
      </c>
      <c r="D9" s="1"/>
      <c r="E9" s="1"/>
      <c r="F9" s="1"/>
    </row>
    <row r="10" spans="1:6" x14ac:dyDescent="0.3">
      <c r="A10" s="4" t="s">
        <v>350</v>
      </c>
      <c r="B10" s="6">
        <f>B8-B9</f>
        <v>0</v>
      </c>
      <c r="C10" s="4" t="s">
        <v>210</v>
      </c>
      <c r="D10" s="1"/>
      <c r="E10" s="1"/>
      <c r="F10" s="1"/>
    </row>
  </sheetData>
  <mergeCells count="2">
    <mergeCell ref="A2:F2"/>
    <mergeCell ref="A1:F1"/>
  </mergeCells>
  <pageMargins left="0.75" right="0.75" top="1" bottom="1" header="0.5" footer="0.5"/>
  <pageSetup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37B3E"/>
    <pageSetUpPr fitToPage="1"/>
  </sheetPr>
  <dimension ref="A1:H16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24" customWidth="1"/>
    <col min="3" max="3" width="58" customWidth="1"/>
    <col min="4" max="4" width="36" customWidth="1"/>
    <col min="5" max="8" width="10" customWidth="1"/>
  </cols>
  <sheetData>
    <row r="1" spans="1:8" ht="28.05" customHeight="1" x14ac:dyDescent="0.3">
      <c r="A1" s="43" t="s">
        <v>351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352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14</v>
      </c>
      <c r="B4" s="2" t="s">
        <v>353</v>
      </c>
      <c r="C4" s="2" t="s">
        <v>354</v>
      </c>
      <c r="D4" s="2" t="s">
        <v>355</v>
      </c>
      <c r="E4" s="1"/>
      <c r="F4" s="1"/>
      <c r="G4" s="1"/>
      <c r="H4" s="1"/>
    </row>
    <row r="5" spans="1:8" x14ac:dyDescent="0.3">
      <c r="A5" s="3" t="s">
        <v>280</v>
      </c>
      <c r="B5" s="5">
        <f>'03_S1_Step1_IS'!E5</f>
        <v>94827</v>
      </c>
      <c r="C5" s="5">
        <f>'03_S1_Step1_IS'!E5</f>
        <v>94827</v>
      </c>
      <c r="D5" s="3" t="s">
        <v>356</v>
      </c>
      <c r="E5" s="1"/>
      <c r="F5" s="1"/>
      <c r="G5" s="1"/>
      <c r="H5" s="1"/>
    </row>
    <row r="6" spans="1:8" x14ac:dyDescent="0.3">
      <c r="A6" s="4" t="s">
        <v>357</v>
      </c>
      <c r="B6" s="6">
        <f>-'03_S1_Step1_IS'!E8</f>
        <v>-77733</v>
      </c>
      <c r="C6" s="6"/>
      <c r="D6" s="4" t="s">
        <v>358</v>
      </c>
      <c r="E6" s="1"/>
      <c r="F6" s="1"/>
      <c r="G6" s="1"/>
      <c r="H6" s="1"/>
    </row>
    <row r="7" spans="1:8" x14ac:dyDescent="0.3">
      <c r="A7" s="3" t="s">
        <v>359</v>
      </c>
      <c r="B7" s="5">
        <f>B5+B6</f>
        <v>17094</v>
      </c>
      <c r="C7" s="5"/>
      <c r="D7" s="3" t="s">
        <v>360</v>
      </c>
      <c r="E7" s="1"/>
      <c r="F7" s="1"/>
      <c r="G7" s="1"/>
      <c r="H7" s="1"/>
    </row>
    <row r="8" spans="1:8" x14ac:dyDescent="0.3">
      <c r="A8" s="4" t="s">
        <v>361</v>
      </c>
      <c r="B8" s="6"/>
      <c r="C8" s="6">
        <f>-'06_S1_Step4_HighLow'!E18</f>
        <v>-66848</v>
      </c>
      <c r="D8" s="4" t="s">
        <v>362</v>
      </c>
      <c r="E8" s="1"/>
      <c r="F8" s="1"/>
      <c r="G8" s="1"/>
      <c r="H8" s="1"/>
    </row>
    <row r="9" spans="1:8" x14ac:dyDescent="0.3">
      <c r="A9" s="3" t="s">
        <v>363</v>
      </c>
      <c r="B9" s="5"/>
      <c r="C9" s="5">
        <f>C5+C8</f>
        <v>27979</v>
      </c>
      <c r="D9" s="3" t="s">
        <v>364</v>
      </c>
      <c r="E9" s="1"/>
      <c r="F9" s="1"/>
      <c r="G9" s="1"/>
      <c r="H9" s="1"/>
    </row>
    <row r="10" spans="1:8" x14ac:dyDescent="0.3">
      <c r="A10" s="4" t="s">
        <v>365</v>
      </c>
      <c r="B10" s="6"/>
      <c r="C10" s="6">
        <f>-'06_S1_Step4_HighLow'!F18</f>
        <v>-10885</v>
      </c>
      <c r="D10" s="4" t="s">
        <v>366</v>
      </c>
      <c r="E10" s="1"/>
      <c r="F10" s="1"/>
      <c r="G10" s="1"/>
      <c r="H10" s="1"/>
    </row>
    <row r="11" spans="1:8" x14ac:dyDescent="0.3">
      <c r="A11" s="3" t="s">
        <v>206</v>
      </c>
      <c r="B11" s="5">
        <f>-'03_S1_Step1_IS'!E11</f>
        <v>-5834</v>
      </c>
      <c r="C11" s="5">
        <f>-'03_S1_Step1_IS'!E11</f>
        <v>-5834</v>
      </c>
      <c r="D11" s="3" t="s">
        <v>367</v>
      </c>
      <c r="E11" s="1"/>
      <c r="F11" s="1"/>
      <c r="G11" s="1"/>
      <c r="H11" s="1"/>
    </row>
    <row r="12" spans="1:8" x14ac:dyDescent="0.3">
      <c r="A12" s="4" t="s">
        <v>205</v>
      </c>
      <c r="B12" s="6">
        <f>-'03_S1_Step1_IS'!E10</f>
        <v>-6411</v>
      </c>
      <c r="C12" s="6">
        <f>-'03_S1_Step1_IS'!E10</f>
        <v>-6411</v>
      </c>
      <c r="D12" s="4" t="s">
        <v>368</v>
      </c>
      <c r="E12" s="1"/>
      <c r="F12" s="1"/>
      <c r="G12" s="1"/>
      <c r="H12" s="1"/>
    </row>
    <row r="13" spans="1:8" x14ac:dyDescent="0.3">
      <c r="A13" s="3" t="s">
        <v>181</v>
      </c>
      <c r="B13" s="5">
        <f>-'03_S1_Step1_IS'!E12</f>
        <v>-494</v>
      </c>
      <c r="C13" s="5">
        <f>-'03_S1_Step1_IS'!E12</f>
        <v>-494</v>
      </c>
      <c r="D13" s="3" t="s">
        <v>368</v>
      </c>
      <c r="E13" s="1"/>
      <c r="F13" s="1"/>
      <c r="G13" s="1"/>
      <c r="H13" s="1"/>
    </row>
    <row r="14" spans="1:8" x14ac:dyDescent="0.3">
      <c r="A14" s="4" t="s">
        <v>369</v>
      </c>
      <c r="B14" s="6"/>
      <c r="C14" s="6">
        <f>-(('01_Source_Data'!E30)*'07_S1_Step5_UnitCost'!B12/1000000)</f>
        <v>-102.62371824663209</v>
      </c>
      <c r="D14" s="4" t="s">
        <v>370</v>
      </c>
      <c r="E14" s="1"/>
      <c r="F14" s="1"/>
      <c r="G14" s="1"/>
      <c r="H14" s="1"/>
    </row>
    <row r="15" spans="1:8" x14ac:dyDescent="0.3">
      <c r="A15" s="3" t="s">
        <v>371</v>
      </c>
      <c r="B15" s="5">
        <f>B7+B11+B12+B13</f>
        <v>4355</v>
      </c>
      <c r="C15" s="5">
        <f>C9+C10+C11+C12+C13+C14</f>
        <v>4252.3762817533679</v>
      </c>
      <c r="D15" s="3" t="s">
        <v>372</v>
      </c>
      <c r="E15" s="1"/>
      <c r="F15" s="1"/>
      <c r="G15" s="1"/>
      <c r="H15" s="1"/>
    </row>
    <row r="16" spans="1:8" x14ac:dyDescent="0.3">
      <c r="A16" s="4" t="s">
        <v>373</v>
      </c>
      <c r="B16" s="6">
        <f>B15-C15</f>
        <v>102.62371824663205</v>
      </c>
      <c r="C16" s="6"/>
      <c r="D16" s="4" t="s">
        <v>374</v>
      </c>
      <c r="E16" s="1"/>
      <c r="F16" s="1"/>
      <c r="G16" s="1"/>
      <c r="H16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37B3E"/>
    <pageSetUpPr fitToPage="1"/>
  </sheetPr>
  <dimension ref="A1:H21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8" customWidth="1"/>
    <col min="2" max="2" width="29" customWidth="1"/>
    <col min="3" max="3" width="35" customWidth="1"/>
    <col min="4" max="4" width="58" customWidth="1"/>
    <col min="5" max="8" width="10" customWidth="1"/>
  </cols>
  <sheetData>
    <row r="1" spans="1:8" ht="28.05" customHeight="1" x14ac:dyDescent="0.3">
      <c r="A1" s="43" t="s">
        <v>375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376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14</v>
      </c>
      <c r="B4" s="2" t="s">
        <v>286</v>
      </c>
      <c r="C4" s="2" t="s">
        <v>287</v>
      </c>
      <c r="D4" s="2" t="s">
        <v>288</v>
      </c>
      <c r="E4" s="1"/>
      <c r="F4" s="1"/>
      <c r="G4" s="1"/>
      <c r="H4" s="1"/>
    </row>
    <row r="5" spans="1:8" x14ac:dyDescent="0.3">
      <c r="A5" s="3" t="s">
        <v>377</v>
      </c>
      <c r="B5" s="5">
        <f>'06_S1_Step4_HighLow'!B16</f>
        <v>82056</v>
      </c>
      <c r="C5" s="5">
        <f>'06_S1_Step4_HighLow'!B17</f>
        <v>12771</v>
      </c>
      <c r="D5" s="5">
        <f>'06_S1_Step4_HighLow'!B18</f>
        <v>94827</v>
      </c>
      <c r="E5" s="1"/>
      <c r="F5" s="1"/>
      <c r="G5" s="1"/>
      <c r="H5" s="1"/>
    </row>
    <row r="6" spans="1:8" x14ac:dyDescent="0.3">
      <c r="A6" s="4" t="s">
        <v>378</v>
      </c>
      <c r="B6" s="6">
        <f>-'06_S1_Step4_HighLow'!E16</f>
        <v>-59604</v>
      </c>
      <c r="C6" s="6">
        <f>-'06_S1_Step4_HighLow'!E17</f>
        <v>-7244</v>
      </c>
      <c r="D6" s="6">
        <f>-'06_S1_Step4_HighLow'!E18</f>
        <v>-66848</v>
      </c>
      <c r="E6" s="1"/>
      <c r="F6" s="1"/>
      <c r="G6" s="1"/>
      <c r="H6" s="1"/>
    </row>
    <row r="7" spans="1:8" x14ac:dyDescent="0.3">
      <c r="A7" s="3" t="s">
        <v>363</v>
      </c>
      <c r="B7" s="5">
        <f>B5+B6</f>
        <v>22452</v>
      </c>
      <c r="C7" s="5">
        <f>C5+C6</f>
        <v>5527</v>
      </c>
      <c r="D7" s="5">
        <f>D5+D6</f>
        <v>27979</v>
      </c>
      <c r="E7" s="1"/>
      <c r="F7" s="1"/>
      <c r="G7" s="1"/>
      <c r="H7" s="1"/>
    </row>
    <row r="8" spans="1:8" x14ac:dyDescent="0.3">
      <c r="A8" s="4" t="s">
        <v>379</v>
      </c>
      <c r="B8" s="9">
        <f>B7/B5</f>
        <v>0.27361801696402455</v>
      </c>
      <c r="C8" s="9">
        <f>C7/C5</f>
        <v>0.43277738626575835</v>
      </c>
      <c r="D8" s="9">
        <f>D7/D5</f>
        <v>0.29505309669187046</v>
      </c>
      <c r="E8" s="1"/>
      <c r="F8" s="1"/>
      <c r="G8" s="1"/>
      <c r="H8" s="1"/>
    </row>
    <row r="9" spans="1:8" x14ac:dyDescent="0.3">
      <c r="A9" s="3" t="s">
        <v>380</v>
      </c>
      <c r="B9" s="5">
        <f>-'06_S1_Step4_HighLow'!F16</f>
        <v>-9160</v>
      </c>
      <c r="C9" s="5">
        <f>-'06_S1_Step4_HighLow'!F17</f>
        <v>-1725</v>
      </c>
      <c r="D9" s="5">
        <f>-'06_S1_Step4_HighLow'!F18</f>
        <v>-10885</v>
      </c>
      <c r="E9" s="1"/>
      <c r="F9" s="1"/>
      <c r="G9" s="1"/>
      <c r="H9" s="1"/>
    </row>
    <row r="10" spans="1:8" x14ac:dyDescent="0.3">
      <c r="A10" s="4" t="s">
        <v>381</v>
      </c>
      <c r="B10" s="6">
        <f>B7+B9</f>
        <v>13292</v>
      </c>
      <c r="C10" s="6">
        <f>C7+C9</f>
        <v>3802</v>
      </c>
      <c r="D10" s="6">
        <f>D7+D9</f>
        <v>17094</v>
      </c>
      <c r="E10" s="1"/>
      <c r="F10" s="1"/>
      <c r="G10" s="1"/>
      <c r="H10" s="1"/>
    </row>
    <row r="11" spans="1:8" x14ac:dyDescent="0.3">
      <c r="A11" s="3" t="s">
        <v>382</v>
      </c>
      <c r="B11" s="5"/>
      <c r="C11" s="5"/>
      <c r="D11" s="5">
        <f>-(('03_S1_Step1_IS'!E10)+'03_S1_Step1_IS'!E11+'03_S1_Step1_IS'!E12)</f>
        <v>-12739</v>
      </c>
      <c r="E11" s="1"/>
      <c r="F11" s="1"/>
      <c r="G11" s="1"/>
      <c r="H11" s="1"/>
    </row>
    <row r="12" spans="1:8" x14ac:dyDescent="0.3">
      <c r="A12" s="4" t="s">
        <v>371</v>
      </c>
      <c r="B12" s="6"/>
      <c r="C12" s="6"/>
      <c r="D12" s="6">
        <f>D10+D11</f>
        <v>4355</v>
      </c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2" t="s">
        <v>383</v>
      </c>
      <c r="B15" s="2" t="s">
        <v>260</v>
      </c>
      <c r="C15" s="2" t="s">
        <v>75</v>
      </c>
      <c r="D15" s="1"/>
      <c r="E15" s="1"/>
      <c r="F15" s="1"/>
      <c r="G15" s="1"/>
      <c r="H15" s="1"/>
    </row>
    <row r="16" spans="1:8" x14ac:dyDescent="0.3">
      <c r="A16" s="4" t="s">
        <v>384</v>
      </c>
      <c r="B16" s="9">
        <f>ROUND(D8,3)</f>
        <v>0.29499999999999998</v>
      </c>
      <c r="C16" s="4" t="s">
        <v>385</v>
      </c>
      <c r="D16" s="1"/>
      <c r="E16" s="1"/>
      <c r="F16" s="1"/>
      <c r="G16" s="1"/>
      <c r="H16" s="1"/>
    </row>
    <row r="17" spans="1:8" x14ac:dyDescent="0.3">
      <c r="A17" s="3" t="s">
        <v>386</v>
      </c>
      <c r="B17" s="5">
        <f>-D9-D11</f>
        <v>23624</v>
      </c>
      <c r="C17" s="3" t="s">
        <v>387</v>
      </c>
      <c r="D17" s="1"/>
      <c r="E17" s="1"/>
      <c r="F17" s="1"/>
      <c r="G17" s="1"/>
      <c r="H17" s="1"/>
    </row>
    <row r="18" spans="1:8" x14ac:dyDescent="0.3">
      <c r="A18" s="4" t="s">
        <v>388</v>
      </c>
      <c r="B18" s="6">
        <f>B17/B16</f>
        <v>80081.355932203398</v>
      </c>
      <c r="C18" s="4" t="s">
        <v>389</v>
      </c>
      <c r="D18" s="1"/>
      <c r="E18" s="1"/>
      <c r="F18" s="1"/>
      <c r="G18" s="1"/>
      <c r="H18" s="1"/>
    </row>
    <row r="19" spans="1:8" x14ac:dyDescent="0.3">
      <c r="A19" s="3" t="s">
        <v>390</v>
      </c>
      <c r="B19" s="5">
        <f>D5-B18</f>
        <v>14745.644067796602</v>
      </c>
      <c r="C19" s="3" t="s">
        <v>391</v>
      </c>
      <c r="D19" s="1"/>
      <c r="E19" s="1"/>
      <c r="F19" s="1"/>
      <c r="G19" s="1"/>
      <c r="H19" s="1"/>
    </row>
    <row r="20" spans="1:8" x14ac:dyDescent="0.3">
      <c r="A20" s="4" t="s">
        <v>392</v>
      </c>
      <c r="B20" s="9">
        <f>B19/D5</f>
        <v>0.15550048053609838</v>
      </c>
      <c r="C20" s="4" t="s">
        <v>393</v>
      </c>
      <c r="D20" s="1"/>
      <c r="E20" s="1"/>
      <c r="F20" s="1"/>
      <c r="G20" s="1"/>
      <c r="H20" s="1"/>
    </row>
    <row r="21" spans="1:8" x14ac:dyDescent="0.3">
      <c r="A21" s="3" t="s">
        <v>394</v>
      </c>
      <c r="B21" s="21">
        <f>D7/D12</f>
        <v>6.424569460390356</v>
      </c>
      <c r="C21" s="3" t="s">
        <v>395</v>
      </c>
      <c r="D21" s="1"/>
      <c r="E21" s="1"/>
      <c r="F21" s="1"/>
      <c r="G21" s="1"/>
      <c r="H21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82127"/>
    <pageSetUpPr fitToPage="1"/>
  </sheetPr>
  <dimension ref="A1:H14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33" customWidth="1"/>
    <col min="3" max="3" width="35" customWidth="1"/>
    <col min="4" max="4" width="13" customWidth="1"/>
    <col min="5" max="5" width="19" customWidth="1"/>
    <col min="6" max="6" width="23" customWidth="1"/>
    <col min="7" max="7" width="42" customWidth="1"/>
    <col min="8" max="8" width="10" customWidth="1"/>
  </cols>
  <sheetData>
    <row r="1" spans="1:8" ht="28.05" customHeight="1" x14ac:dyDescent="0.3">
      <c r="A1" s="43" t="s">
        <v>396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397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398</v>
      </c>
      <c r="B4" s="2" t="s">
        <v>260</v>
      </c>
      <c r="C4" s="2" t="s">
        <v>399</v>
      </c>
      <c r="D4" s="1"/>
      <c r="E4" s="1"/>
      <c r="F4" s="1"/>
      <c r="G4" s="1"/>
      <c r="H4" s="1"/>
    </row>
    <row r="5" spans="1:8" x14ac:dyDescent="0.3">
      <c r="A5" s="3" t="s">
        <v>384</v>
      </c>
      <c r="B5" s="8">
        <f>'11_S1_Step9_Contribution'!B16</f>
        <v>0.29499999999999998</v>
      </c>
      <c r="C5" s="3" t="s">
        <v>400</v>
      </c>
      <c r="D5" s="1"/>
      <c r="E5" s="1"/>
      <c r="F5" s="1"/>
      <c r="G5" s="1"/>
      <c r="H5" s="1"/>
    </row>
    <row r="6" spans="1:8" x14ac:dyDescent="0.3">
      <c r="A6" s="4" t="s">
        <v>386</v>
      </c>
      <c r="B6" s="6">
        <f>'11_S1_Step9_Contribution'!B17</f>
        <v>23624</v>
      </c>
      <c r="C6" s="4" t="s">
        <v>387</v>
      </c>
      <c r="D6" s="1"/>
      <c r="E6" s="1"/>
      <c r="F6" s="1"/>
      <c r="G6" s="1"/>
      <c r="H6" s="1"/>
    </row>
    <row r="7" spans="1:8" x14ac:dyDescent="0.3">
      <c r="A7" s="3" t="s">
        <v>388</v>
      </c>
      <c r="B7" s="5">
        <f>'11_S1_Step9_Contribution'!B18</f>
        <v>80081.355932203398</v>
      </c>
      <c r="C7" s="3" t="s">
        <v>389</v>
      </c>
      <c r="D7" s="1"/>
      <c r="E7" s="1"/>
      <c r="F7" s="1"/>
      <c r="G7" s="1"/>
      <c r="H7" s="1"/>
    </row>
    <row r="8" spans="1:8" x14ac:dyDescent="0.3">
      <c r="A8" s="4" t="s">
        <v>401</v>
      </c>
      <c r="B8" s="6">
        <f>'03_S1_Step1_IS'!E5</f>
        <v>94827</v>
      </c>
      <c r="C8" s="4" t="s">
        <v>402</v>
      </c>
      <c r="D8" s="1"/>
      <c r="E8" s="1"/>
      <c r="F8" s="1"/>
      <c r="G8" s="1"/>
      <c r="H8" s="1"/>
    </row>
    <row r="9" spans="1:8" x14ac:dyDescent="0.3">
      <c r="A9" s="3" t="s">
        <v>403</v>
      </c>
      <c r="B9" s="5">
        <f>B8-B7</f>
        <v>14745.644067796602</v>
      </c>
      <c r="C9" s="3" t="s">
        <v>404</v>
      </c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2" t="s">
        <v>36</v>
      </c>
      <c r="B12" s="2" t="s">
        <v>405</v>
      </c>
      <c r="C12" s="2" t="s">
        <v>284</v>
      </c>
      <c r="D12" s="2" t="s">
        <v>406</v>
      </c>
      <c r="E12" s="2" t="s">
        <v>407</v>
      </c>
      <c r="F12" s="2" t="s">
        <v>408</v>
      </c>
      <c r="G12" s="2" t="s">
        <v>409</v>
      </c>
      <c r="H12" s="1"/>
    </row>
    <row r="13" spans="1:8" x14ac:dyDescent="0.3">
      <c r="A13" s="3" t="s">
        <v>286</v>
      </c>
      <c r="B13" s="8">
        <f>'11_S1_Step9_Contribution'!B8</f>
        <v>0.27361801696402455</v>
      </c>
      <c r="C13" s="5">
        <f>-'11_S1_Step9_Contribution'!B9</f>
        <v>9160</v>
      </c>
      <c r="D13" s="5">
        <f>C13/B13</f>
        <v>33477.327632282206</v>
      </c>
      <c r="E13" s="3" t="s">
        <v>266</v>
      </c>
      <c r="F13" s="22">
        <f>'01_Source_Data'!E28</f>
        <v>1654667</v>
      </c>
      <c r="G13" s="17">
        <f>D13/('11_S1_Step9_Contribution'!B5/F13)</f>
        <v>675073.47764119017</v>
      </c>
      <c r="H13" s="1"/>
    </row>
    <row r="14" spans="1:8" x14ac:dyDescent="0.3">
      <c r="A14" s="4" t="s">
        <v>287</v>
      </c>
      <c r="B14" s="9">
        <f>'11_S1_Step9_Contribution'!C8</f>
        <v>0.43277738626575835</v>
      </c>
      <c r="C14" s="6">
        <f>-'11_S1_Step9_Contribution'!C9</f>
        <v>1725</v>
      </c>
      <c r="D14" s="6">
        <f>C14/B14</f>
        <v>3985.8829383028769</v>
      </c>
      <c r="E14" s="4" t="s">
        <v>410</v>
      </c>
      <c r="F14" s="23">
        <f>'01_Source_Data'!E31</f>
        <v>46.7</v>
      </c>
      <c r="G14" s="19">
        <f>D14/('11_S1_Step9_Contribution'!C5/F14)</f>
        <v>14.575266871720647</v>
      </c>
      <c r="H14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82127"/>
    <pageSetUpPr fitToPage="1"/>
  </sheetPr>
  <dimension ref="A1:I15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22" customWidth="1"/>
    <col min="3" max="3" width="58" customWidth="1"/>
    <col min="4" max="4" width="33" customWidth="1"/>
    <col min="5" max="5" width="37" customWidth="1"/>
    <col min="6" max="6" width="19" customWidth="1"/>
    <col min="7" max="9" width="10" customWidth="1"/>
  </cols>
  <sheetData>
    <row r="1" spans="1:9" ht="28.05" customHeight="1" x14ac:dyDescent="0.3">
      <c r="A1" s="43" t="s">
        <v>411</v>
      </c>
      <c r="B1" s="44"/>
      <c r="C1" s="44"/>
      <c r="D1" s="44"/>
      <c r="E1" s="44"/>
      <c r="F1" s="44"/>
      <c r="G1" s="44"/>
      <c r="H1" s="44"/>
      <c r="I1" s="44"/>
    </row>
    <row r="2" spans="1:9" ht="24" customHeight="1" x14ac:dyDescent="0.3">
      <c r="A2" s="45" t="s">
        <v>412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2" t="s">
        <v>64</v>
      </c>
      <c r="B4" s="2" t="s">
        <v>280</v>
      </c>
      <c r="C4" s="2" t="s">
        <v>406</v>
      </c>
      <c r="D4" s="2" t="s">
        <v>413</v>
      </c>
      <c r="E4" s="2" t="s">
        <v>414</v>
      </c>
      <c r="F4" s="2" t="s">
        <v>415</v>
      </c>
      <c r="G4" s="1"/>
      <c r="H4" s="1"/>
      <c r="I4" s="1"/>
    </row>
    <row r="5" spans="1:9" x14ac:dyDescent="0.3">
      <c r="A5" s="3">
        <f>--RIGHT('01_Source_Data'!B4,4)</f>
        <v>2022</v>
      </c>
      <c r="B5" s="5">
        <f>'01_Source_Data'!B5</f>
        <v>81462</v>
      </c>
      <c r="C5" s="5">
        <f>('01_Source_Data'!C47-'01_Source_Data'!D47)/'01_Source_Data'!B47</f>
        <v>32692.857142857141</v>
      </c>
      <c r="D5" s="5">
        <f>B5-C5</f>
        <v>48769.142857142855</v>
      </c>
      <c r="E5" s="8">
        <f>D5/B5</f>
        <v>0.59867352700821064</v>
      </c>
      <c r="F5" s="3" t="s">
        <v>416</v>
      </c>
      <c r="G5" s="1"/>
      <c r="H5" s="1"/>
      <c r="I5" s="1"/>
    </row>
    <row r="6" spans="1:9" x14ac:dyDescent="0.3">
      <c r="A6" s="4">
        <f>--RIGHT('01_Source_Data'!C4,4)</f>
        <v>2023</v>
      </c>
      <c r="B6" s="6">
        <f>'01_Source_Data'!C5</f>
        <v>96773</v>
      </c>
      <c r="C6" s="6">
        <f>('01_Source_Data'!C48-'01_Source_Data'!D48)/'01_Source_Data'!B48</f>
        <v>61208</v>
      </c>
      <c r="D6" s="6">
        <f>B6-C6</f>
        <v>35565</v>
      </c>
      <c r="E6" s="9">
        <f>D6/B6</f>
        <v>0.36750953261756897</v>
      </c>
      <c r="F6" s="4" t="s">
        <v>416</v>
      </c>
      <c r="G6" s="1"/>
      <c r="H6" s="1"/>
      <c r="I6" s="1"/>
    </row>
    <row r="7" spans="1:9" x14ac:dyDescent="0.3">
      <c r="A7" s="3">
        <f>--RIGHT('01_Source_Data'!D4,4)</f>
        <v>2024</v>
      </c>
      <c r="B7" s="5">
        <f>'01_Source_Data'!D5</f>
        <v>97690</v>
      </c>
      <c r="C7" s="5">
        <f>('01_Source_Data'!C49-'01_Source_Data'!D49)/'01_Source_Data'!B49</f>
        <v>72508.896797153022</v>
      </c>
      <c r="D7" s="5">
        <f>B7-C7</f>
        <v>25181.103202846978</v>
      </c>
      <c r="E7" s="8">
        <f>D7/B7</f>
        <v>0.25776541307039591</v>
      </c>
      <c r="F7" s="3" t="s">
        <v>416</v>
      </c>
      <c r="G7" s="1"/>
      <c r="H7" s="1"/>
      <c r="I7" s="1"/>
    </row>
    <row r="8" spans="1:9" x14ac:dyDescent="0.3">
      <c r="A8" s="4">
        <f>--RIGHT('01_Source_Data'!E4,4)</f>
        <v>2025</v>
      </c>
      <c r="B8" s="6">
        <f>'03_S1_Step1_IS'!E5</f>
        <v>94827</v>
      </c>
      <c r="C8" s="6">
        <f>'11_S1_Step9_Contribution'!B18</f>
        <v>80081.355932203398</v>
      </c>
      <c r="D8" s="6">
        <f>B8-C8</f>
        <v>14745.644067796602</v>
      </c>
      <c r="E8" s="9">
        <f>D8/B8</f>
        <v>0.15550048053609838</v>
      </c>
      <c r="F8" s="4" t="s">
        <v>417</v>
      </c>
      <c r="G8" s="1"/>
      <c r="H8" s="1"/>
      <c r="I8" s="1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">
      <c r="A12" s="2" t="s">
        <v>64</v>
      </c>
      <c r="B12" s="2" t="s">
        <v>415</v>
      </c>
      <c r="C12" s="2" t="s">
        <v>280</v>
      </c>
      <c r="D12" s="2" t="s">
        <v>418</v>
      </c>
      <c r="E12" s="2" t="s">
        <v>419</v>
      </c>
      <c r="F12" s="2" t="s">
        <v>406</v>
      </c>
      <c r="G12" s="2" t="s">
        <v>413</v>
      </c>
      <c r="H12" s="2" t="s">
        <v>414</v>
      </c>
      <c r="I12" s="1"/>
    </row>
    <row r="13" spans="1:9" x14ac:dyDescent="0.3">
      <c r="A13" s="3" t="s">
        <v>18</v>
      </c>
      <c r="B13" s="3" t="s">
        <v>420</v>
      </c>
      <c r="C13" s="5">
        <f>'03_S1_Step1_IS'!E5</f>
        <v>94827</v>
      </c>
      <c r="D13" s="8">
        <f>'11_S1_Step9_Contribution'!B16</f>
        <v>0.29499999999999998</v>
      </c>
      <c r="E13" s="5">
        <f>'11_S1_Step9_Contribution'!B17</f>
        <v>23624</v>
      </c>
      <c r="F13" s="5">
        <f>E13/D13</f>
        <v>80081.355932203398</v>
      </c>
      <c r="G13" s="5">
        <f>C13-F13</f>
        <v>14745.644067796602</v>
      </c>
      <c r="H13" s="8">
        <f>G13/C13</f>
        <v>0.15550048053609838</v>
      </c>
      <c r="I13" s="1"/>
    </row>
    <row r="14" spans="1:9" x14ac:dyDescent="0.3">
      <c r="A14" s="4" t="s">
        <v>421</v>
      </c>
      <c r="B14" s="4" t="s">
        <v>159</v>
      </c>
      <c r="C14" s="13">
        <f>'02_Assumptions_Audit'!F18</f>
        <v>95023</v>
      </c>
      <c r="D14" s="9">
        <f>D13</f>
        <v>0.29499999999999998</v>
      </c>
      <c r="E14" s="13">
        <f>E13*(1+'02_Assumptions_Audit'!F24)</f>
        <v>24994.192000000003</v>
      </c>
      <c r="F14" s="6">
        <f>E14/D14</f>
        <v>84726.074576271203</v>
      </c>
      <c r="G14" s="6">
        <f>C14-F14</f>
        <v>10296.925423728797</v>
      </c>
      <c r="H14" s="9">
        <f>G14/C14</f>
        <v>0.10836245355049616</v>
      </c>
      <c r="I14" s="1"/>
    </row>
    <row r="15" spans="1:9" x14ac:dyDescent="0.3">
      <c r="A15" s="3" t="s">
        <v>422</v>
      </c>
      <c r="B15" s="3" t="s">
        <v>159</v>
      </c>
      <c r="C15" s="13">
        <f>'02_Assumptions_Audit'!F23</f>
        <v>99774</v>
      </c>
      <c r="D15" s="8">
        <f>D14</f>
        <v>0.29499999999999998</v>
      </c>
      <c r="E15" s="13">
        <f>E14*(1+'02_Assumptions_Audit'!I24)</f>
        <v>26043.948064000004</v>
      </c>
      <c r="F15" s="5">
        <f>E15/D15</f>
        <v>88284.569708474592</v>
      </c>
      <c r="G15" s="5">
        <f>C15-F15</f>
        <v>11489.430291525408</v>
      </c>
      <c r="H15" s="8">
        <f>G15/C15</f>
        <v>0.1151545522032334</v>
      </c>
      <c r="I15" s="1"/>
    </row>
  </sheetData>
  <mergeCells count="2">
    <mergeCell ref="A1:I1"/>
    <mergeCell ref="A2:I2"/>
  </mergeCells>
  <pageMargins left="0.75" right="0.75" top="1" bottom="1" header="0.5" footer="0.5"/>
  <pageSetup fitToHeigh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82127"/>
    <pageSetUpPr fitToPage="1"/>
  </sheetPr>
  <dimension ref="A1:H20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6" customWidth="1"/>
    <col min="2" max="3" width="33" customWidth="1"/>
    <col min="4" max="8" width="10" customWidth="1"/>
  </cols>
  <sheetData>
    <row r="1" spans="1:8" ht="28.05" customHeight="1" x14ac:dyDescent="0.3">
      <c r="A1" s="43" t="s">
        <v>423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424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64</v>
      </c>
      <c r="B4" s="2" t="s">
        <v>363</v>
      </c>
      <c r="C4" s="2" t="s">
        <v>371</v>
      </c>
      <c r="D4" s="2" t="s">
        <v>425</v>
      </c>
      <c r="E4" s="1"/>
      <c r="F4" s="1"/>
      <c r="G4" s="1"/>
      <c r="H4" s="1"/>
    </row>
    <row r="5" spans="1:8" x14ac:dyDescent="0.3">
      <c r="A5" s="3">
        <f>--RIGHT('01_Source_Data'!B4,4)</f>
        <v>2022</v>
      </c>
      <c r="B5" s="5">
        <f>'01_Source_Data'!C47</f>
        <v>22810</v>
      </c>
      <c r="C5" s="5">
        <f>'01_Source_Data'!D47</f>
        <v>13656</v>
      </c>
      <c r="D5" s="21">
        <f>B5/C5</f>
        <v>1.6703280609256004</v>
      </c>
      <c r="E5" s="1"/>
      <c r="F5" s="1"/>
      <c r="G5" s="1"/>
      <c r="H5" s="1"/>
    </row>
    <row r="6" spans="1:8" x14ac:dyDescent="0.3">
      <c r="A6" s="4">
        <f>--RIGHT('01_Source_Data'!C4,4)</f>
        <v>2023</v>
      </c>
      <c r="B6" s="6">
        <f>'01_Source_Data'!C48</f>
        <v>24193</v>
      </c>
      <c r="C6" s="6">
        <f>'01_Source_Data'!D48</f>
        <v>8891</v>
      </c>
      <c r="D6" s="24">
        <f>B6/C6</f>
        <v>2.7210662467663931</v>
      </c>
      <c r="E6" s="1"/>
      <c r="F6" s="1"/>
      <c r="G6" s="1"/>
      <c r="H6" s="1"/>
    </row>
    <row r="7" spans="1:8" x14ac:dyDescent="0.3">
      <c r="A7" s="3">
        <f>--RIGHT('01_Source_Data'!D4,4)</f>
        <v>2024</v>
      </c>
      <c r="B7" s="5">
        <f>'01_Source_Data'!C49</f>
        <v>27451</v>
      </c>
      <c r="C7" s="5">
        <f>'01_Source_Data'!D49</f>
        <v>7076</v>
      </c>
      <c r="D7" s="21">
        <f>B7/C7</f>
        <v>3.8794516676088184</v>
      </c>
      <c r="E7" s="1"/>
      <c r="F7" s="1"/>
      <c r="G7" s="1"/>
      <c r="H7" s="1"/>
    </row>
    <row r="8" spans="1:8" x14ac:dyDescent="0.3">
      <c r="A8" s="4">
        <f>--RIGHT('01_Source_Data'!E4,4)</f>
        <v>2025</v>
      </c>
      <c r="B8" s="6">
        <f>'11_S1_Step9_Contribution'!D7</f>
        <v>27979</v>
      </c>
      <c r="C8" s="6">
        <f>'11_S1_Step9_Contribution'!D12</f>
        <v>4355</v>
      </c>
      <c r="D8" s="24">
        <f>B8/C8</f>
        <v>6.424569460390356</v>
      </c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2" t="s">
        <v>426</v>
      </c>
      <c r="B13" s="2" t="s">
        <v>260</v>
      </c>
      <c r="C13" s="2" t="s">
        <v>199</v>
      </c>
      <c r="D13" s="1"/>
      <c r="E13" s="1"/>
      <c r="F13" s="1"/>
      <c r="G13" s="1"/>
      <c r="H13" s="1"/>
    </row>
    <row r="14" spans="1:8" x14ac:dyDescent="0.3">
      <c r="A14" s="4" t="s">
        <v>427</v>
      </c>
      <c r="B14" s="6">
        <f>'03_S1_Step1_IS'!E5</f>
        <v>94827</v>
      </c>
      <c r="C14" s="4" t="s">
        <v>402</v>
      </c>
      <c r="D14" s="1"/>
      <c r="E14" s="1"/>
      <c r="F14" s="1"/>
      <c r="G14" s="1"/>
      <c r="H14" s="1"/>
    </row>
    <row r="15" spans="1:8" x14ac:dyDescent="0.3">
      <c r="A15" s="3" t="s">
        <v>428</v>
      </c>
      <c r="B15" s="5">
        <f>'11_S1_Step9_Contribution'!D12</f>
        <v>4355</v>
      </c>
      <c r="C15" s="3" t="s">
        <v>429</v>
      </c>
      <c r="D15" s="1"/>
      <c r="E15" s="1"/>
      <c r="F15" s="1"/>
      <c r="G15" s="1"/>
      <c r="H15" s="1"/>
    </row>
    <row r="16" spans="1:8" x14ac:dyDescent="0.3">
      <c r="A16" s="4" t="s">
        <v>425</v>
      </c>
      <c r="B16" s="24">
        <f>'11_S1_Step9_Contribution'!B21</f>
        <v>6.424569460390356</v>
      </c>
      <c r="C16" s="4" t="s">
        <v>430</v>
      </c>
      <c r="D16" s="1"/>
      <c r="E16" s="1"/>
      <c r="F16" s="1"/>
      <c r="G16" s="1"/>
      <c r="H16" s="1"/>
    </row>
    <row r="17" spans="1:8" x14ac:dyDescent="0.3">
      <c r="A17" s="3" t="s">
        <v>431</v>
      </c>
      <c r="B17" s="8">
        <f>-5/100</f>
        <v>-0.05</v>
      </c>
      <c r="C17" s="3" t="s">
        <v>432</v>
      </c>
      <c r="D17" s="1"/>
      <c r="E17" s="1"/>
      <c r="F17" s="1"/>
      <c r="G17" s="1"/>
      <c r="H17" s="1"/>
    </row>
    <row r="18" spans="1:8" x14ac:dyDescent="0.3">
      <c r="A18" s="4" t="s">
        <v>433</v>
      </c>
      <c r="B18" s="9">
        <f>B16*B17</f>
        <v>-0.32122847301951785</v>
      </c>
      <c r="C18" s="4" t="s">
        <v>434</v>
      </c>
      <c r="D18" s="1"/>
      <c r="E18" s="1"/>
      <c r="F18" s="1"/>
      <c r="G18" s="1"/>
      <c r="H18" s="1"/>
    </row>
    <row r="19" spans="1:8" x14ac:dyDescent="0.3">
      <c r="A19" s="3" t="s">
        <v>435</v>
      </c>
      <c r="B19" s="5">
        <f>B15*B18</f>
        <v>-1398.9500000000003</v>
      </c>
      <c r="C19" s="3" t="s">
        <v>436</v>
      </c>
      <c r="D19" s="1"/>
      <c r="E19" s="1"/>
      <c r="F19" s="1"/>
      <c r="G19" s="1"/>
      <c r="H19" s="1"/>
    </row>
    <row r="20" spans="1:8" x14ac:dyDescent="0.3">
      <c r="A20" s="4" t="s">
        <v>437</v>
      </c>
      <c r="B20" s="6">
        <f>B15+B19</f>
        <v>2956.0499999999997</v>
      </c>
      <c r="C20" s="4" t="s">
        <v>438</v>
      </c>
      <c r="D20" s="1"/>
      <c r="E20" s="1"/>
      <c r="F20" s="1"/>
      <c r="G20" s="1"/>
      <c r="H20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82127"/>
    <pageSetUpPr fitToPage="1"/>
  </sheetPr>
  <dimension ref="A1:H8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5" customWidth="1"/>
    <col min="2" max="3" width="58" customWidth="1"/>
    <col min="4" max="4" width="33" customWidth="1"/>
    <col min="5" max="5" width="58" customWidth="1"/>
    <col min="6" max="8" width="10" customWidth="1"/>
  </cols>
  <sheetData>
    <row r="1" spans="1:8" ht="28.05" customHeight="1" x14ac:dyDescent="0.3">
      <c r="A1" s="43" t="s">
        <v>439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440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64</v>
      </c>
      <c r="B4" s="2" t="s">
        <v>441</v>
      </c>
      <c r="C4" s="2" t="s">
        <v>442</v>
      </c>
      <c r="D4" s="2" t="s">
        <v>443</v>
      </c>
      <c r="E4" s="2" t="s">
        <v>444</v>
      </c>
      <c r="F4" s="2" t="s">
        <v>119</v>
      </c>
      <c r="G4" s="1"/>
      <c r="H4" s="1"/>
    </row>
    <row r="5" spans="1:8" x14ac:dyDescent="0.3">
      <c r="A5" s="3">
        <f>--RIGHT('01_Source_Data'!B4,4)</f>
        <v>2022</v>
      </c>
      <c r="B5" s="8">
        <f>'01_Source_Data'!B20/('01_Source_Data'!B20+'01_Source_Data'!B21)</f>
        <v>0.95201443617883186</v>
      </c>
      <c r="C5" s="8">
        <f>'01_Source_Data'!B21/('01_Source_Data'!B20+'01_Source_Data'!B21)</f>
        <v>4.7985563821168149E-2</v>
      </c>
      <c r="D5" s="8">
        <f>'01_Source_Data'!B47</f>
        <v>0.28000000000000003</v>
      </c>
      <c r="E5" s="8">
        <f>B5*'11_S1_Step9_Contribution'!B8+C5*'11_S1_Step9_Contribution'!C8</f>
        <v>0.28125536903738974</v>
      </c>
      <c r="F5" s="8">
        <f>D5-E5</f>
        <v>-1.2553690373897086E-3</v>
      </c>
      <c r="G5" s="1"/>
      <c r="H5" s="1"/>
    </row>
    <row r="6" spans="1:8" x14ac:dyDescent="0.3">
      <c r="A6" s="4">
        <f>--RIGHT('01_Source_Data'!C4,4)</f>
        <v>2023</v>
      </c>
      <c r="B6" s="9">
        <f>'01_Source_Data'!D20/('01_Source_Data'!D20+'01_Source_Data'!D21)</f>
        <v>0.93763756419662514</v>
      </c>
      <c r="C6" s="9">
        <f>'01_Source_Data'!D21/('01_Source_Data'!D20+'01_Source_Data'!D21)</f>
        <v>6.2362435803374909E-2</v>
      </c>
      <c r="D6" s="9">
        <f>'01_Source_Data'!B48</f>
        <v>0.25</v>
      </c>
      <c r="E6" s="9">
        <f>B6*'11_S1_Step9_Contribution'!B8+C6*'11_S1_Step9_Contribution'!C8</f>
        <v>0.28354358291460957</v>
      </c>
      <c r="F6" s="9">
        <f>D6-E6</f>
        <v>-3.3543582914609571E-2</v>
      </c>
      <c r="G6" s="1"/>
      <c r="H6" s="1"/>
    </row>
    <row r="7" spans="1:8" x14ac:dyDescent="0.3">
      <c r="A7" s="3">
        <f>--RIGHT('01_Source_Data'!D4,4)</f>
        <v>2024</v>
      </c>
      <c r="B7" s="8">
        <f>'01_Source_Data'!F20/('01_Source_Data'!F20+'01_Source_Data'!F21)</f>
        <v>0.89675504145767226</v>
      </c>
      <c r="C7" s="8">
        <f>'01_Source_Data'!F21/('01_Source_Data'!F20+'01_Source_Data'!F21)</f>
        <v>0.10324495854232778</v>
      </c>
      <c r="D7" s="8">
        <f>'01_Source_Data'!B49</f>
        <v>0.28100000000000003</v>
      </c>
      <c r="E7" s="8">
        <f>B7*'11_S1_Step9_Contribution'!B8+C7*'11_S1_Step9_Contribution'!C8</f>
        <v>0.29005041944920507</v>
      </c>
      <c r="F7" s="8">
        <f>D7-E7</f>
        <v>-9.0504194492050383E-3</v>
      </c>
      <c r="G7" s="1"/>
      <c r="H7" s="1"/>
    </row>
    <row r="8" spans="1:8" x14ac:dyDescent="0.3">
      <c r="A8" s="4">
        <f>--RIGHT('01_Source_Data'!E4,4)</f>
        <v>2025</v>
      </c>
      <c r="B8" s="9">
        <f>'01_Source_Data'!H20/('01_Source_Data'!H20+'01_Source_Data'!H21)</f>
        <v>0.86532316745230786</v>
      </c>
      <c r="C8" s="9">
        <f>'01_Source_Data'!H21/('01_Source_Data'!H20+'01_Source_Data'!H21)</f>
        <v>0.13467683254769211</v>
      </c>
      <c r="D8" s="9">
        <f>'11_S1_Step9_Contribution'!B16</f>
        <v>0.29499999999999998</v>
      </c>
      <c r="E8" s="9">
        <f>B8*'11_S1_Step9_Contribution'!B8+C8*'11_S1_Step9_Contribution'!C8</f>
        <v>0.29505309669187041</v>
      </c>
      <c r="F8" s="9">
        <f>D8-E8</f>
        <v>-5.3096691870424539E-5</v>
      </c>
      <c r="G8" s="1"/>
      <c r="H8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82127"/>
    <pageSetUpPr fitToPage="1"/>
  </sheetPr>
  <dimension ref="A1:H15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5" customWidth="1"/>
    <col min="2" max="2" width="31" customWidth="1"/>
    <col min="3" max="3" width="11" customWidth="1"/>
    <col min="4" max="4" width="36" customWidth="1"/>
    <col min="5" max="5" width="58" customWidth="1"/>
    <col min="6" max="8" width="10" customWidth="1"/>
  </cols>
  <sheetData>
    <row r="1" spans="1:8" ht="28.05" customHeight="1" x14ac:dyDescent="0.3">
      <c r="A1" s="43" t="s">
        <v>445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446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447</v>
      </c>
      <c r="B4" s="2" t="s">
        <v>448</v>
      </c>
      <c r="C4" s="2" t="s">
        <v>449</v>
      </c>
      <c r="D4" s="2" t="s">
        <v>450</v>
      </c>
      <c r="E4" s="2" t="s">
        <v>451</v>
      </c>
      <c r="F4" s="1"/>
      <c r="G4" s="1"/>
      <c r="H4" s="1"/>
    </row>
    <row r="5" spans="1:8" x14ac:dyDescent="0.3">
      <c r="A5" s="3" t="s">
        <v>452</v>
      </c>
      <c r="B5" s="3" t="s">
        <v>453</v>
      </c>
      <c r="C5" s="3" t="s">
        <v>454</v>
      </c>
      <c r="D5" s="3" t="s">
        <v>455</v>
      </c>
      <c r="E5" s="3" t="s">
        <v>456</v>
      </c>
      <c r="F5" s="1"/>
      <c r="G5" s="1"/>
      <c r="H5" s="1"/>
    </row>
    <row r="6" spans="1:8" x14ac:dyDescent="0.3">
      <c r="A6" s="4" t="s">
        <v>457</v>
      </c>
      <c r="B6" s="4" t="s">
        <v>458</v>
      </c>
      <c r="C6" s="4" t="s">
        <v>454</v>
      </c>
      <c r="D6" s="4" t="s">
        <v>459</v>
      </c>
      <c r="E6" s="4" t="s">
        <v>460</v>
      </c>
      <c r="F6" s="1"/>
      <c r="G6" s="1"/>
      <c r="H6" s="1"/>
    </row>
    <row r="7" spans="1:8" x14ac:dyDescent="0.3">
      <c r="A7" s="3" t="s">
        <v>461</v>
      </c>
      <c r="B7" s="3" t="s">
        <v>462</v>
      </c>
      <c r="C7" s="3" t="s">
        <v>454</v>
      </c>
      <c r="D7" s="3" t="s">
        <v>459</v>
      </c>
      <c r="E7" s="3" t="s">
        <v>463</v>
      </c>
      <c r="F7" s="1"/>
      <c r="G7" s="1"/>
      <c r="H7" s="1"/>
    </row>
    <row r="8" spans="1:8" x14ac:dyDescent="0.3">
      <c r="A8" s="4" t="s">
        <v>464</v>
      </c>
      <c r="B8" s="4" t="s">
        <v>465</v>
      </c>
      <c r="C8" s="4" t="s">
        <v>454</v>
      </c>
      <c r="D8" s="4" t="s">
        <v>459</v>
      </c>
      <c r="E8" s="4" t="s">
        <v>463</v>
      </c>
      <c r="F8" s="1"/>
      <c r="G8" s="1"/>
      <c r="H8" s="1"/>
    </row>
    <row r="9" spans="1:8" x14ac:dyDescent="0.3">
      <c r="A9" s="3" t="s">
        <v>466</v>
      </c>
      <c r="B9" s="3" t="s">
        <v>467</v>
      </c>
      <c r="C9" s="3" t="s">
        <v>454</v>
      </c>
      <c r="D9" s="3" t="s">
        <v>244</v>
      </c>
      <c r="E9" s="3" t="s">
        <v>468</v>
      </c>
      <c r="F9" s="1"/>
      <c r="G9" s="1"/>
      <c r="H9" s="1"/>
    </row>
    <row r="10" spans="1:8" x14ac:dyDescent="0.3">
      <c r="A10" s="4" t="s">
        <v>469</v>
      </c>
      <c r="B10" s="4" t="s">
        <v>470</v>
      </c>
      <c r="C10" s="4" t="s">
        <v>454</v>
      </c>
      <c r="D10" s="4" t="s">
        <v>459</v>
      </c>
      <c r="E10" s="4" t="s">
        <v>471</v>
      </c>
      <c r="F10" s="1"/>
      <c r="G10" s="1"/>
      <c r="H10" s="1"/>
    </row>
    <row r="11" spans="1:8" x14ac:dyDescent="0.3">
      <c r="A11" s="3" t="s">
        <v>472</v>
      </c>
      <c r="B11" s="3" t="s">
        <v>473</v>
      </c>
      <c r="C11" s="3" t="s">
        <v>454</v>
      </c>
      <c r="D11" s="3" t="s">
        <v>474</v>
      </c>
      <c r="E11" s="3" t="s">
        <v>475</v>
      </c>
      <c r="F11" s="1"/>
      <c r="G11" s="1"/>
      <c r="H11" s="1"/>
    </row>
    <row r="12" spans="1:8" x14ac:dyDescent="0.3">
      <c r="A12" s="4" t="s">
        <v>476</v>
      </c>
      <c r="B12" s="4" t="s">
        <v>477</v>
      </c>
      <c r="C12" s="4" t="s">
        <v>478</v>
      </c>
      <c r="D12" s="4" t="s">
        <v>479</v>
      </c>
      <c r="E12" s="4" t="s">
        <v>480</v>
      </c>
      <c r="F12" s="1"/>
      <c r="G12" s="1"/>
      <c r="H12" s="1"/>
    </row>
    <row r="13" spans="1:8" x14ac:dyDescent="0.3">
      <c r="A13" s="3" t="s">
        <v>481</v>
      </c>
      <c r="B13" s="3" t="s">
        <v>482</v>
      </c>
      <c r="C13" s="3" t="s">
        <v>478</v>
      </c>
      <c r="D13" s="3" t="s">
        <v>483</v>
      </c>
      <c r="E13" s="3" t="s">
        <v>484</v>
      </c>
      <c r="F13" s="1"/>
      <c r="G13" s="1"/>
      <c r="H13" s="1"/>
    </row>
    <row r="14" spans="1:8" x14ac:dyDescent="0.3">
      <c r="A14" s="4" t="s">
        <v>485</v>
      </c>
      <c r="B14" s="4" t="s">
        <v>486</v>
      </c>
      <c r="C14" s="4" t="s">
        <v>478</v>
      </c>
      <c r="D14" s="4" t="s">
        <v>487</v>
      </c>
      <c r="E14" s="4" t="s">
        <v>488</v>
      </c>
      <c r="F14" s="1"/>
      <c r="G14" s="1"/>
      <c r="H14" s="1"/>
    </row>
    <row r="15" spans="1:8" x14ac:dyDescent="0.3">
      <c r="A15" s="3" t="s">
        <v>489</v>
      </c>
      <c r="B15" s="3" t="s">
        <v>490</v>
      </c>
      <c r="C15" s="3" t="s">
        <v>478</v>
      </c>
      <c r="D15" s="3" t="s">
        <v>491</v>
      </c>
      <c r="E15" s="3" t="s">
        <v>492</v>
      </c>
      <c r="F15" s="1"/>
      <c r="G15" s="1"/>
      <c r="H15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82127"/>
    <pageSetUpPr fitToPage="1"/>
  </sheetPr>
  <dimension ref="A1:H15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31" customWidth="1"/>
    <col min="3" max="3" width="41" customWidth="1"/>
    <col min="4" max="4" width="39" customWidth="1"/>
    <col min="5" max="8" width="10" customWidth="1"/>
  </cols>
  <sheetData>
    <row r="1" spans="1:8" ht="28.05" customHeight="1" x14ac:dyDescent="0.3">
      <c r="A1" s="43" t="s">
        <v>493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494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447</v>
      </c>
      <c r="B4" s="2" t="s">
        <v>495</v>
      </c>
      <c r="C4" s="2" t="s">
        <v>496</v>
      </c>
      <c r="D4" s="2" t="s">
        <v>497</v>
      </c>
      <c r="E4" s="1"/>
      <c r="F4" s="1"/>
      <c r="G4" s="1"/>
      <c r="H4" s="1"/>
    </row>
    <row r="5" spans="1:8" x14ac:dyDescent="0.3">
      <c r="A5" s="3" t="s">
        <v>452</v>
      </c>
      <c r="B5" s="3" t="s">
        <v>453</v>
      </c>
      <c r="C5" s="3" t="s">
        <v>498</v>
      </c>
      <c r="D5" s="3" t="s">
        <v>458</v>
      </c>
      <c r="E5" s="1"/>
      <c r="F5" s="1"/>
      <c r="G5" s="1"/>
      <c r="H5" s="1"/>
    </row>
    <row r="6" spans="1:8" x14ac:dyDescent="0.3">
      <c r="A6" s="4" t="s">
        <v>457</v>
      </c>
      <c r="B6" s="4" t="s">
        <v>458</v>
      </c>
      <c r="C6" s="4" t="s">
        <v>499</v>
      </c>
      <c r="D6" s="4" t="s">
        <v>500</v>
      </c>
      <c r="E6" s="1"/>
      <c r="F6" s="1"/>
      <c r="G6" s="1"/>
      <c r="H6" s="1"/>
    </row>
    <row r="7" spans="1:8" x14ac:dyDescent="0.3">
      <c r="A7" s="3" t="s">
        <v>461</v>
      </c>
      <c r="B7" s="3" t="s">
        <v>462</v>
      </c>
      <c r="C7" s="3" t="s">
        <v>501</v>
      </c>
      <c r="D7" s="3" t="s">
        <v>502</v>
      </c>
      <c r="E7" s="1"/>
      <c r="F7" s="1"/>
      <c r="G7" s="1"/>
      <c r="H7" s="1"/>
    </row>
    <row r="8" spans="1:8" x14ac:dyDescent="0.3">
      <c r="A8" s="4" t="s">
        <v>464</v>
      </c>
      <c r="B8" s="4" t="s">
        <v>465</v>
      </c>
      <c r="C8" s="4" t="s">
        <v>503</v>
      </c>
      <c r="D8" s="4" t="s">
        <v>502</v>
      </c>
      <c r="E8" s="1"/>
      <c r="F8" s="1"/>
      <c r="G8" s="1"/>
      <c r="H8" s="1"/>
    </row>
    <row r="9" spans="1:8" x14ac:dyDescent="0.3">
      <c r="A9" s="3" t="s">
        <v>466</v>
      </c>
      <c r="B9" s="3" t="s">
        <v>467</v>
      </c>
      <c r="C9" s="3" t="s">
        <v>504</v>
      </c>
      <c r="D9" s="3" t="s">
        <v>502</v>
      </c>
      <c r="E9" s="1"/>
      <c r="F9" s="1"/>
      <c r="G9" s="1"/>
      <c r="H9" s="1"/>
    </row>
    <row r="10" spans="1:8" x14ac:dyDescent="0.3">
      <c r="A10" s="4" t="s">
        <v>469</v>
      </c>
      <c r="B10" s="4" t="s">
        <v>470</v>
      </c>
      <c r="C10" s="4" t="s">
        <v>505</v>
      </c>
      <c r="D10" s="4" t="s">
        <v>482</v>
      </c>
      <c r="E10" s="1"/>
      <c r="F10" s="1"/>
      <c r="G10" s="1"/>
      <c r="H10" s="1"/>
    </row>
    <row r="11" spans="1:8" x14ac:dyDescent="0.3">
      <c r="A11" s="3" t="s">
        <v>472</v>
      </c>
      <c r="B11" s="3" t="s">
        <v>473</v>
      </c>
      <c r="C11" s="3" t="s">
        <v>506</v>
      </c>
      <c r="D11" s="3" t="s">
        <v>482</v>
      </c>
      <c r="E11" s="1"/>
      <c r="F11" s="1"/>
      <c r="G11" s="1"/>
      <c r="H11" s="1"/>
    </row>
    <row r="12" spans="1:8" x14ac:dyDescent="0.3">
      <c r="A12" s="4" t="s">
        <v>476</v>
      </c>
      <c r="B12" s="4" t="s">
        <v>477</v>
      </c>
      <c r="C12" s="4" t="s">
        <v>507</v>
      </c>
      <c r="D12" s="4" t="s">
        <v>508</v>
      </c>
      <c r="E12" s="1"/>
      <c r="F12" s="1"/>
      <c r="G12" s="1"/>
      <c r="H12" s="1"/>
    </row>
    <row r="13" spans="1:8" x14ac:dyDescent="0.3">
      <c r="A13" s="3" t="s">
        <v>481</v>
      </c>
      <c r="B13" s="3" t="s">
        <v>482</v>
      </c>
      <c r="C13" s="3" t="s">
        <v>509</v>
      </c>
      <c r="D13" s="3" t="s">
        <v>510</v>
      </c>
      <c r="E13" s="1"/>
      <c r="F13" s="1"/>
      <c r="G13" s="1"/>
      <c r="H13" s="1"/>
    </row>
    <row r="14" spans="1:8" x14ac:dyDescent="0.3">
      <c r="A14" s="4" t="s">
        <v>485</v>
      </c>
      <c r="B14" s="4" t="s">
        <v>486</v>
      </c>
      <c r="C14" s="4" t="s">
        <v>511</v>
      </c>
      <c r="D14" s="4" t="s">
        <v>490</v>
      </c>
      <c r="E14" s="1"/>
      <c r="F14" s="1"/>
      <c r="G14" s="1"/>
      <c r="H14" s="1"/>
    </row>
    <row r="15" spans="1:8" x14ac:dyDescent="0.3">
      <c r="A15" s="3" t="s">
        <v>489</v>
      </c>
      <c r="B15" s="3" t="s">
        <v>490</v>
      </c>
      <c r="C15" s="3" t="s">
        <v>512</v>
      </c>
      <c r="D15" s="3" t="s">
        <v>513</v>
      </c>
      <c r="E15" s="1"/>
      <c r="F15" s="1"/>
      <c r="G15" s="1"/>
      <c r="H15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5B400"/>
    <pageSetUpPr fitToPage="1"/>
  </sheetPr>
  <dimension ref="A1:H26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54" customWidth="1"/>
    <col min="3" max="3" width="58" customWidth="1"/>
    <col min="4" max="5" width="29" customWidth="1"/>
    <col min="6" max="8" width="10" customWidth="1"/>
  </cols>
  <sheetData>
    <row r="1" spans="1:8" ht="28.05" customHeight="1" x14ac:dyDescent="0.3">
      <c r="A1" s="43" t="s">
        <v>514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515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71</v>
      </c>
      <c r="B4" s="2" t="s">
        <v>48</v>
      </c>
      <c r="C4" s="2" t="s">
        <v>516</v>
      </c>
      <c r="D4" s="2" t="s">
        <v>77</v>
      </c>
      <c r="E4" s="2" t="s">
        <v>78</v>
      </c>
      <c r="F4" s="2" t="s">
        <v>517</v>
      </c>
      <c r="G4" s="1"/>
      <c r="H4" s="1"/>
    </row>
    <row r="5" spans="1:8" x14ac:dyDescent="0.3">
      <c r="A5" s="3" t="s">
        <v>157</v>
      </c>
      <c r="B5" s="3" t="s">
        <v>158</v>
      </c>
      <c r="C5" s="13">
        <f>'02_Assumptions_Audit'!F18</f>
        <v>95023</v>
      </c>
      <c r="D5" s="13">
        <f>'02_Assumptions_Audit'!G18</f>
        <v>87487</v>
      </c>
      <c r="E5" s="13">
        <f>'02_Assumptions_Audit'!H18</f>
        <v>103485</v>
      </c>
      <c r="F5" s="3" t="s">
        <v>518</v>
      </c>
      <c r="G5" s="1"/>
      <c r="H5" s="1"/>
    </row>
    <row r="6" spans="1:8" x14ac:dyDescent="0.3">
      <c r="A6" s="4" t="s">
        <v>164</v>
      </c>
      <c r="B6" s="4" t="s">
        <v>165</v>
      </c>
      <c r="C6" s="10">
        <f>'02_Assumptions_Audit'!F19</f>
        <v>0.18</v>
      </c>
      <c r="D6" s="10">
        <f>'02_Assumptions_Audit'!G19</f>
        <v>0.16</v>
      </c>
      <c r="E6" s="10">
        <f>'02_Assumptions_Audit'!H19</f>
        <v>0.19</v>
      </c>
      <c r="F6" s="4" t="s">
        <v>518</v>
      </c>
      <c r="G6" s="1"/>
      <c r="H6" s="1"/>
    </row>
    <row r="7" spans="1:8" x14ac:dyDescent="0.3">
      <c r="A7" s="3" t="s">
        <v>170</v>
      </c>
      <c r="B7" s="3" t="s">
        <v>171</v>
      </c>
      <c r="C7" s="10">
        <f>'02_Assumptions_Audit'!F20</f>
        <v>0.2</v>
      </c>
      <c r="D7" s="10">
        <f>'02_Assumptions_Audit'!G20</f>
        <v>0.1</v>
      </c>
      <c r="E7" s="10">
        <f>'02_Assumptions_Audit'!H20</f>
        <v>0.25</v>
      </c>
      <c r="F7" s="3" t="s">
        <v>519</v>
      </c>
      <c r="G7" s="1"/>
      <c r="H7" s="1"/>
    </row>
    <row r="8" spans="1:8" x14ac:dyDescent="0.3">
      <c r="A8" s="4" t="s">
        <v>175</v>
      </c>
      <c r="B8" s="4" t="s">
        <v>176</v>
      </c>
      <c r="C8" s="10">
        <f>'02_Assumptions_Audit'!F21</f>
        <v>0.05</v>
      </c>
      <c r="D8" s="10">
        <f>'02_Assumptions_Audit'!G21</f>
        <v>0.02</v>
      </c>
      <c r="E8" s="10">
        <f>'02_Assumptions_Audit'!H21</f>
        <v>0.08</v>
      </c>
      <c r="F8" s="4" t="s">
        <v>519</v>
      </c>
      <c r="G8" s="1"/>
      <c r="H8" s="1"/>
    </row>
    <row r="9" spans="1:8" x14ac:dyDescent="0.3">
      <c r="A9" s="3" t="s">
        <v>180</v>
      </c>
      <c r="B9" s="3" t="s">
        <v>181</v>
      </c>
      <c r="C9" s="13">
        <f>'02_Assumptions_Audit'!F22</f>
        <v>247</v>
      </c>
      <c r="D9" s="13">
        <f>'02_Assumptions_Audit'!G22</f>
        <v>494</v>
      </c>
      <c r="E9" s="13">
        <f>'02_Assumptions_Audit'!H22</f>
        <v>100</v>
      </c>
      <c r="F9" s="3" t="s">
        <v>520</v>
      </c>
      <c r="G9" s="1"/>
      <c r="H9" s="1"/>
    </row>
    <row r="10" spans="1:8" x14ac:dyDescent="0.3">
      <c r="A10" s="4" t="s">
        <v>185</v>
      </c>
      <c r="B10" s="4" t="s">
        <v>186</v>
      </c>
      <c r="C10" s="13">
        <f>'02_Assumptions_Audit'!F23</f>
        <v>99774</v>
      </c>
      <c r="D10" s="13">
        <f>'02_Assumptions_Audit'!G23</f>
        <v>91861</v>
      </c>
      <c r="E10" s="13">
        <f>'02_Assumptions_Audit'!H23</f>
        <v>108660</v>
      </c>
      <c r="F10" s="4" t="s">
        <v>518</v>
      </c>
      <c r="G10" s="1"/>
      <c r="H10" s="1"/>
    </row>
    <row r="11" spans="1:8" x14ac:dyDescent="0.3">
      <c r="A11" s="3" t="s">
        <v>191</v>
      </c>
      <c r="B11" s="3" t="s">
        <v>192</v>
      </c>
      <c r="C11" s="10">
        <f>'02_Assumptions_Audit'!F24</f>
        <v>5.8000000000000003E-2</v>
      </c>
      <c r="D11" s="10">
        <f>'02_Assumptions_Audit'!G24</f>
        <v>7.0000000000000007E-2</v>
      </c>
      <c r="E11" s="10">
        <f>'02_Assumptions_Audit'!H24</f>
        <v>0.02</v>
      </c>
      <c r="F11" s="3" t="s">
        <v>519</v>
      </c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2" t="s">
        <v>521</v>
      </c>
      <c r="B14" s="2" t="s">
        <v>260</v>
      </c>
      <c r="C14" s="2" t="s">
        <v>522</v>
      </c>
      <c r="D14" s="1"/>
      <c r="E14" s="1"/>
      <c r="F14" s="1"/>
      <c r="G14" s="1"/>
      <c r="H14" s="1"/>
    </row>
    <row r="15" spans="1:8" x14ac:dyDescent="0.3">
      <c r="A15" s="3" t="s">
        <v>523</v>
      </c>
      <c r="B15" s="13">
        <f>'02_Assumptions_Audit'!F18</f>
        <v>95023</v>
      </c>
      <c r="C15" s="3" t="s">
        <v>157</v>
      </c>
      <c r="D15" s="1"/>
      <c r="E15" s="1"/>
      <c r="F15" s="1"/>
      <c r="G15" s="1"/>
      <c r="H15" s="1"/>
    </row>
    <row r="16" spans="1:8" x14ac:dyDescent="0.3">
      <c r="A16" s="4" t="s">
        <v>165</v>
      </c>
      <c r="B16" s="10">
        <f>'02_Assumptions_Audit'!F19</f>
        <v>0.18</v>
      </c>
      <c r="C16" s="4" t="s">
        <v>164</v>
      </c>
      <c r="D16" s="1"/>
      <c r="E16" s="1"/>
      <c r="F16" s="1"/>
      <c r="G16" s="1"/>
      <c r="H16" s="1"/>
    </row>
    <row r="17" spans="1:8" x14ac:dyDescent="0.3">
      <c r="A17" s="3" t="s">
        <v>524</v>
      </c>
      <c r="B17" s="13">
        <f>'03_S1_Step1_IS'!E10*(1+'02_Assumptions_Audit'!F20)</f>
        <v>7693.2</v>
      </c>
      <c r="C17" s="3" t="s">
        <v>525</v>
      </c>
      <c r="D17" s="1"/>
      <c r="E17" s="1"/>
      <c r="F17" s="1"/>
      <c r="G17" s="1"/>
      <c r="H17" s="1"/>
    </row>
    <row r="18" spans="1:8" x14ac:dyDescent="0.3">
      <c r="A18" s="4" t="s">
        <v>473</v>
      </c>
      <c r="B18" s="13">
        <f>'03_S1_Step1_IS'!E11*(1+'02_Assumptions_Audit'!F21)</f>
        <v>6125.7</v>
      </c>
      <c r="C18" s="4" t="s">
        <v>526</v>
      </c>
      <c r="D18" s="1"/>
      <c r="E18" s="1"/>
      <c r="F18" s="1"/>
      <c r="G18" s="1"/>
      <c r="H18" s="1"/>
    </row>
    <row r="19" spans="1:8" x14ac:dyDescent="0.3">
      <c r="A19" s="3" t="s">
        <v>181</v>
      </c>
      <c r="B19" s="13">
        <f>'02_Assumptions_Audit'!F22</f>
        <v>247</v>
      </c>
      <c r="C19" s="3" t="s">
        <v>180</v>
      </c>
      <c r="D19" s="1"/>
      <c r="E19" s="1"/>
      <c r="F19" s="1"/>
      <c r="G19" s="1"/>
      <c r="H19" s="1"/>
    </row>
    <row r="20" spans="1:8" x14ac:dyDescent="0.3">
      <c r="A20" s="4" t="s">
        <v>527</v>
      </c>
      <c r="B20" s="6" t="e">
        <f>B5*B6-B7-B8-B9</f>
        <v>#VALUE!</v>
      </c>
      <c r="C20" s="4" t="s">
        <v>528</v>
      </c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/>
      <c r="B22" s="1"/>
      <c r="C22" s="1"/>
      <c r="D22" s="1"/>
      <c r="E22" s="1"/>
      <c r="F22" s="1"/>
      <c r="G22" s="1"/>
      <c r="H22" s="1"/>
    </row>
    <row r="23" spans="1:8" x14ac:dyDescent="0.3">
      <c r="A23" s="2" t="s">
        <v>48</v>
      </c>
      <c r="B23" s="2" t="s">
        <v>529</v>
      </c>
      <c r="C23" s="2" t="s">
        <v>530</v>
      </c>
      <c r="D23" s="2" t="s">
        <v>531</v>
      </c>
      <c r="E23" s="2" t="s">
        <v>517</v>
      </c>
      <c r="F23" s="1"/>
      <c r="G23" s="1"/>
      <c r="H23" s="1"/>
    </row>
    <row r="24" spans="1:8" x14ac:dyDescent="0.3">
      <c r="A24" s="4" t="s">
        <v>532</v>
      </c>
      <c r="B24" s="4" t="s">
        <v>533</v>
      </c>
      <c r="C24" s="13">
        <f>('02_Assumptions_Audit'!G19-B16)*B15</f>
        <v>-1900.4599999999991</v>
      </c>
      <c r="D24" s="9" t="e">
        <f>C24/B20</f>
        <v>#VALUE!</v>
      </c>
      <c r="E24" s="4" t="s">
        <v>518</v>
      </c>
      <c r="F24" s="1"/>
      <c r="G24" s="1"/>
      <c r="H24" s="1"/>
    </row>
    <row r="25" spans="1:8" x14ac:dyDescent="0.3">
      <c r="A25" s="3" t="s">
        <v>534</v>
      </c>
      <c r="B25" s="3" t="s">
        <v>535</v>
      </c>
      <c r="C25" s="13">
        <f>('02_Assumptions_Audit'!G18-B15)*B16</f>
        <v>-1356.48</v>
      </c>
      <c r="D25" s="8" t="e">
        <f>C25/B20</f>
        <v>#VALUE!</v>
      </c>
      <c r="E25" s="3" t="s">
        <v>518</v>
      </c>
      <c r="F25" s="1"/>
      <c r="G25" s="1"/>
      <c r="H25" s="1"/>
    </row>
    <row r="26" spans="1:8" x14ac:dyDescent="0.3">
      <c r="A26" s="4" t="s">
        <v>536</v>
      </c>
      <c r="B26" s="4" t="s">
        <v>537</v>
      </c>
      <c r="C26" s="13" t="e">
        <f>('02_Assumptions_Audit'!G18*'02_Assumptions_Audit'!G19-('03_S1_Step1_IS'!E10*(1+'02_Assumptions_Audit'!G20))-('03_S1_Step1_IS'!E11*(1+'02_Assumptions_Audit'!G21))-'02_Assumptions_Audit'!G22)-B20</f>
        <v>#VALUE!</v>
      </c>
      <c r="D26" s="9" t="e">
        <f>C26/B20</f>
        <v>#VALUE!</v>
      </c>
      <c r="E26" s="4" t="s">
        <v>518</v>
      </c>
      <c r="F26" s="1"/>
      <c r="G26" s="1"/>
      <c r="H26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65F9D"/>
    <pageSetUpPr fitToPage="1"/>
  </sheetPr>
  <dimension ref="A1:J50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15" customWidth="1"/>
    <col min="3" max="3" width="24" customWidth="1"/>
    <col min="4" max="4" width="21" customWidth="1"/>
    <col min="5" max="6" width="58" customWidth="1"/>
    <col min="7" max="7" width="13" customWidth="1"/>
    <col min="8" max="8" width="12" customWidth="1"/>
    <col min="9" max="9" width="13" customWidth="1"/>
    <col min="10" max="10" width="10" customWidth="1"/>
  </cols>
  <sheetData>
    <row r="1" spans="1:10" ht="28.05" customHeight="1" x14ac:dyDescent="0.3">
      <c r="A1" s="43" t="s">
        <v>12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4" customHeight="1" x14ac:dyDescent="0.3">
      <c r="A2" s="45" t="s">
        <v>13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</v>
      </c>
      <c r="G4" s="1"/>
      <c r="H4" s="1"/>
      <c r="I4" s="1"/>
      <c r="J4" s="1"/>
    </row>
    <row r="5" spans="1:10" x14ac:dyDescent="0.3">
      <c r="A5" s="3" t="s">
        <v>20</v>
      </c>
      <c r="B5" s="5">
        <v>81462</v>
      </c>
      <c r="C5" s="5">
        <v>96773</v>
      </c>
      <c r="D5" s="5">
        <v>97690</v>
      </c>
      <c r="E5" s="5">
        <v>94827</v>
      </c>
      <c r="F5" s="3" t="s">
        <v>21</v>
      </c>
      <c r="G5" s="1"/>
      <c r="H5" s="1"/>
      <c r="I5" s="1"/>
      <c r="J5" s="1"/>
    </row>
    <row r="6" spans="1:10" x14ac:dyDescent="0.3">
      <c r="A6" s="4" t="s">
        <v>22</v>
      </c>
      <c r="B6" s="6">
        <v>71462</v>
      </c>
      <c r="C6" s="6">
        <v>82419</v>
      </c>
      <c r="D6" s="6">
        <v>77070</v>
      </c>
      <c r="E6" s="6">
        <v>69526</v>
      </c>
      <c r="F6" s="4" t="s">
        <v>23</v>
      </c>
      <c r="G6" s="1"/>
      <c r="H6" s="1"/>
      <c r="I6" s="1"/>
      <c r="J6" s="1"/>
    </row>
    <row r="7" spans="1:10" x14ac:dyDescent="0.3">
      <c r="A7" s="3" t="s">
        <v>24</v>
      </c>
      <c r="B7" s="5">
        <v>3909</v>
      </c>
      <c r="C7" s="5">
        <v>6035</v>
      </c>
      <c r="D7" s="5">
        <v>10086</v>
      </c>
      <c r="E7" s="5">
        <v>12771</v>
      </c>
      <c r="F7" s="3" t="s">
        <v>23</v>
      </c>
      <c r="G7" s="1"/>
      <c r="H7" s="1"/>
      <c r="I7" s="1"/>
      <c r="J7" s="1"/>
    </row>
    <row r="8" spans="1:10" x14ac:dyDescent="0.3">
      <c r="A8" s="4" t="s">
        <v>25</v>
      </c>
      <c r="B8" s="6">
        <v>6091</v>
      </c>
      <c r="C8" s="6">
        <v>8319</v>
      </c>
      <c r="D8" s="6">
        <v>10534</v>
      </c>
      <c r="E8" s="6">
        <v>12530</v>
      </c>
      <c r="F8" s="4" t="s">
        <v>23</v>
      </c>
      <c r="G8" s="1"/>
      <c r="H8" s="1"/>
      <c r="I8" s="1"/>
      <c r="J8" s="1"/>
    </row>
    <row r="9" spans="1:10" x14ac:dyDescent="0.3">
      <c r="A9" s="3" t="s">
        <v>26</v>
      </c>
      <c r="B9" s="5">
        <v>60609</v>
      </c>
      <c r="C9" s="5">
        <v>79113</v>
      </c>
      <c r="D9" s="5">
        <v>80240</v>
      </c>
      <c r="E9" s="5">
        <v>77733</v>
      </c>
      <c r="F9" s="3" t="s">
        <v>21</v>
      </c>
      <c r="G9" s="1"/>
      <c r="H9" s="1"/>
      <c r="I9" s="1"/>
      <c r="J9" s="1"/>
    </row>
    <row r="10" spans="1:10" x14ac:dyDescent="0.3">
      <c r="A10" s="4" t="s">
        <v>27</v>
      </c>
      <c r="B10" s="6">
        <v>20853</v>
      </c>
      <c r="C10" s="6">
        <v>17660</v>
      </c>
      <c r="D10" s="6">
        <v>17450</v>
      </c>
      <c r="E10" s="6">
        <v>17094</v>
      </c>
      <c r="F10" s="4" t="s">
        <v>28</v>
      </c>
      <c r="G10" s="1"/>
      <c r="H10" s="1"/>
      <c r="I10" s="1"/>
      <c r="J10" s="1"/>
    </row>
    <row r="11" spans="1:10" x14ac:dyDescent="0.3">
      <c r="A11" s="3" t="s">
        <v>29</v>
      </c>
      <c r="B11" s="5">
        <v>3075</v>
      </c>
      <c r="C11" s="5">
        <v>3969</v>
      </c>
      <c r="D11" s="5">
        <v>4540</v>
      </c>
      <c r="E11" s="5">
        <v>6411</v>
      </c>
      <c r="F11" s="3" t="s">
        <v>21</v>
      </c>
      <c r="G11" s="1"/>
      <c r="H11" s="1"/>
      <c r="I11" s="1"/>
      <c r="J11" s="1"/>
    </row>
    <row r="12" spans="1:10" x14ac:dyDescent="0.3">
      <c r="A12" s="4" t="s">
        <v>30</v>
      </c>
      <c r="B12" s="6">
        <v>3946</v>
      </c>
      <c r="C12" s="6">
        <v>4800</v>
      </c>
      <c r="D12" s="6">
        <v>5150</v>
      </c>
      <c r="E12" s="6">
        <v>5834</v>
      </c>
      <c r="F12" s="4" t="s">
        <v>21</v>
      </c>
      <c r="G12" s="1"/>
      <c r="H12" s="1"/>
      <c r="I12" s="1"/>
      <c r="J12" s="1"/>
    </row>
    <row r="13" spans="1:10" x14ac:dyDescent="0.3">
      <c r="A13" s="3" t="s">
        <v>31</v>
      </c>
      <c r="B13" s="5">
        <v>176</v>
      </c>
      <c r="C13" s="5">
        <v>0</v>
      </c>
      <c r="D13" s="5">
        <v>684</v>
      </c>
      <c r="E13" s="5">
        <v>494</v>
      </c>
      <c r="F13" s="3" t="s">
        <v>21</v>
      </c>
      <c r="G13" s="1"/>
      <c r="H13" s="1"/>
      <c r="I13" s="1"/>
      <c r="J13" s="1"/>
    </row>
    <row r="14" spans="1:10" x14ac:dyDescent="0.3">
      <c r="A14" s="4" t="s">
        <v>32</v>
      </c>
      <c r="B14" s="6">
        <v>13656</v>
      </c>
      <c r="C14" s="6">
        <v>8891</v>
      </c>
      <c r="D14" s="6">
        <v>7076</v>
      </c>
      <c r="E14" s="6">
        <v>4355</v>
      </c>
      <c r="F14" s="4" t="s">
        <v>21</v>
      </c>
      <c r="G14" s="1"/>
      <c r="H14" s="1"/>
      <c r="I14" s="1"/>
      <c r="J14" s="1"/>
    </row>
    <row r="15" spans="1:10" ht="28.8" x14ac:dyDescent="0.3">
      <c r="A15" s="3" t="s">
        <v>33</v>
      </c>
      <c r="B15" s="5">
        <v>12587</v>
      </c>
      <c r="C15" s="5">
        <v>14974</v>
      </c>
      <c r="D15" s="5">
        <v>7091</v>
      </c>
      <c r="E15" s="5">
        <v>3794</v>
      </c>
      <c r="F15" s="3" t="s">
        <v>34</v>
      </c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7" t="s">
        <v>35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2" t="s">
        <v>36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41</v>
      </c>
      <c r="G19" s="2" t="s">
        <v>42</v>
      </c>
      <c r="H19" s="2" t="s">
        <v>43</v>
      </c>
      <c r="I19" s="2" t="s">
        <v>44</v>
      </c>
      <c r="J19" s="1"/>
    </row>
    <row r="20" spans="1:10" x14ac:dyDescent="0.3">
      <c r="A20" s="4" t="s">
        <v>45</v>
      </c>
      <c r="B20" s="6">
        <v>77553</v>
      </c>
      <c r="C20" s="6">
        <v>56988</v>
      </c>
      <c r="D20" s="6">
        <v>90738</v>
      </c>
      <c r="E20" s="6">
        <v>74219</v>
      </c>
      <c r="F20" s="6">
        <v>87604</v>
      </c>
      <c r="G20" s="6">
        <v>72794</v>
      </c>
      <c r="H20" s="6">
        <v>82056</v>
      </c>
      <c r="I20" s="6">
        <v>68764</v>
      </c>
      <c r="J20" s="1"/>
    </row>
    <row r="21" spans="1:10" x14ac:dyDescent="0.3">
      <c r="A21" s="3" t="s">
        <v>24</v>
      </c>
      <c r="B21" s="5">
        <v>3909</v>
      </c>
      <c r="C21" s="5">
        <v>3621</v>
      </c>
      <c r="D21" s="5">
        <v>6035</v>
      </c>
      <c r="E21" s="5">
        <v>4894</v>
      </c>
      <c r="F21" s="5">
        <v>10086</v>
      </c>
      <c r="G21" s="5">
        <v>7446</v>
      </c>
      <c r="H21" s="5">
        <v>12771</v>
      </c>
      <c r="I21" s="5">
        <v>8969</v>
      </c>
      <c r="J21" s="1"/>
    </row>
    <row r="22" spans="1:10" x14ac:dyDescent="0.3">
      <c r="A22" s="4" t="s">
        <v>46</v>
      </c>
      <c r="B22" s="6">
        <v>81462</v>
      </c>
      <c r="C22" s="6">
        <v>60609</v>
      </c>
      <c r="D22" s="6">
        <v>96773</v>
      </c>
      <c r="E22" s="6">
        <v>79113</v>
      </c>
      <c r="F22" s="6">
        <v>97690</v>
      </c>
      <c r="G22" s="6">
        <v>80240</v>
      </c>
      <c r="H22" s="6">
        <v>94827</v>
      </c>
      <c r="I22" s="6">
        <v>77733</v>
      </c>
      <c r="J22" s="1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7" t="s">
        <v>47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2" t="s">
        <v>48</v>
      </c>
      <c r="B27" s="2" t="s">
        <v>15</v>
      </c>
      <c r="C27" s="2" t="s">
        <v>16</v>
      </c>
      <c r="D27" s="2" t="s">
        <v>17</v>
      </c>
      <c r="E27" s="2" t="s">
        <v>18</v>
      </c>
      <c r="F27" s="2" t="s">
        <v>19</v>
      </c>
      <c r="G27" s="1"/>
      <c r="H27" s="1"/>
      <c r="I27" s="1"/>
      <c r="J27" s="1"/>
    </row>
    <row r="28" spans="1:10" x14ac:dyDescent="0.3">
      <c r="A28" s="4" t="s">
        <v>49</v>
      </c>
      <c r="B28" s="4">
        <v>1369611</v>
      </c>
      <c r="C28" s="4">
        <v>1845985</v>
      </c>
      <c r="D28" s="4">
        <v>1773443</v>
      </c>
      <c r="E28" s="4">
        <v>1654667</v>
      </c>
      <c r="F28" s="4" t="s">
        <v>50</v>
      </c>
      <c r="G28" s="1"/>
      <c r="H28" s="1"/>
      <c r="I28" s="1"/>
      <c r="J28" s="1"/>
    </row>
    <row r="29" spans="1:10" x14ac:dyDescent="0.3">
      <c r="A29" s="3" t="s">
        <v>51</v>
      </c>
      <c r="B29" s="3">
        <v>1313851</v>
      </c>
      <c r="C29" s="3">
        <v>1808581</v>
      </c>
      <c r="D29" s="3">
        <v>1789226</v>
      </c>
      <c r="E29" s="3">
        <v>1636129</v>
      </c>
      <c r="F29" s="3" t="s">
        <v>50</v>
      </c>
      <c r="G29" s="1"/>
      <c r="H29" s="1"/>
      <c r="I29" s="1"/>
      <c r="J29" s="1"/>
    </row>
    <row r="30" spans="1:10" x14ac:dyDescent="0.3">
      <c r="A30" s="4" t="s">
        <v>52</v>
      </c>
      <c r="B30" s="4">
        <v>55760</v>
      </c>
      <c r="C30" s="4">
        <v>37404</v>
      </c>
      <c r="D30" s="4">
        <v>-15783</v>
      </c>
      <c r="E30" s="4">
        <v>18538</v>
      </c>
      <c r="F30" s="4" t="s">
        <v>53</v>
      </c>
      <c r="G30" s="1"/>
      <c r="H30" s="1"/>
      <c r="I30" s="1"/>
      <c r="J30" s="1"/>
    </row>
    <row r="31" spans="1:10" x14ac:dyDescent="0.3">
      <c r="A31" s="3" t="s">
        <v>54</v>
      </c>
      <c r="B31" s="3">
        <v>6.5</v>
      </c>
      <c r="C31" s="3">
        <v>14.7</v>
      </c>
      <c r="D31" s="3">
        <v>31.4</v>
      </c>
      <c r="E31" s="3">
        <v>46.7</v>
      </c>
      <c r="F31" s="3" t="s">
        <v>55</v>
      </c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7" t="s">
        <v>56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2" t="s">
        <v>57</v>
      </c>
      <c r="B36" s="2" t="s">
        <v>16</v>
      </c>
      <c r="C36" s="2" t="s">
        <v>17</v>
      </c>
      <c r="D36" s="2" t="s">
        <v>18</v>
      </c>
      <c r="E36" s="2" t="s">
        <v>19</v>
      </c>
      <c r="F36" s="1"/>
      <c r="G36" s="1"/>
      <c r="H36" s="1"/>
      <c r="I36" s="1"/>
      <c r="J36" s="1"/>
    </row>
    <row r="37" spans="1:10" x14ac:dyDescent="0.3">
      <c r="A37" s="3" t="s">
        <v>58</v>
      </c>
      <c r="B37" s="5">
        <v>5390</v>
      </c>
      <c r="C37" s="5">
        <v>5242</v>
      </c>
      <c r="D37" s="5">
        <v>4522</v>
      </c>
      <c r="E37" s="3" t="s">
        <v>59</v>
      </c>
      <c r="F37" s="1"/>
      <c r="G37" s="1"/>
      <c r="H37" s="1"/>
      <c r="I37" s="1"/>
      <c r="J37" s="1"/>
    </row>
    <row r="38" spans="1:10" x14ac:dyDescent="0.3">
      <c r="A38" s="4" t="s">
        <v>60</v>
      </c>
      <c r="B38" s="6">
        <v>2016</v>
      </c>
      <c r="C38" s="6">
        <v>1532</v>
      </c>
      <c r="D38" s="6">
        <v>1725</v>
      </c>
      <c r="E38" s="4" t="s">
        <v>59</v>
      </c>
      <c r="F38" s="1"/>
      <c r="G38" s="1"/>
      <c r="H38" s="1"/>
      <c r="I38" s="1"/>
      <c r="J38" s="1"/>
    </row>
    <row r="39" spans="1:10" x14ac:dyDescent="0.3">
      <c r="A39" s="3" t="s">
        <v>61</v>
      </c>
      <c r="B39" s="5">
        <v>5049</v>
      </c>
      <c r="C39" s="5">
        <v>3940</v>
      </c>
      <c r="D39" s="5">
        <v>4849</v>
      </c>
      <c r="E39" s="3" t="s">
        <v>59</v>
      </c>
      <c r="F39" s="1"/>
      <c r="G39" s="1"/>
      <c r="H39" s="1"/>
      <c r="I39" s="1"/>
      <c r="J39" s="1"/>
    </row>
    <row r="40" spans="1:10" x14ac:dyDescent="0.3">
      <c r="A40" s="4" t="s">
        <v>62</v>
      </c>
      <c r="B40" s="6">
        <v>1171</v>
      </c>
      <c r="C40" s="6">
        <v>1303</v>
      </c>
      <c r="D40" s="6">
        <v>1296</v>
      </c>
      <c r="E40" s="4" t="s">
        <v>59</v>
      </c>
      <c r="F40" s="1"/>
      <c r="G40" s="1"/>
      <c r="H40" s="1"/>
      <c r="I40" s="1"/>
      <c r="J40" s="1"/>
    </row>
    <row r="41" spans="1:10" x14ac:dyDescent="0.3">
      <c r="A41" s="3" t="s">
        <v>46</v>
      </c>
      <c r="B41" s="5">
        <v>13626</v>
      </c>
      <c r="C41" s="5">
        <v>12017</v>
      </c>
      <c r="D41" s="5">
        <v>12392</v>
      </c>
      <c r="E41" s="3" t="s">
        <v>59</v>
      </c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7" t="s">
        <v>63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2" t="s">
        <v>64</v>
      </c>
      <c r="B46" s="2" t="s">
        <v>65</v>
      </c>
      <c r="C46" s="2" t="s">
        <v>66</v>
      </c>
      <c r="D46" s="2" t="s">
        <v>67</v>
      </c>
      <c r="E46" s="2" t="s">
        <v>19</v>
      </c>
      <c r="F46" s="1"/>
      <c r="G46" s="1"/>
      <c r="H46" s="1"/>
      <c r="I46" s="1"/>
      <c r="J46" s="1"/>
    </row>
    <row r="47" spans="1:10" x14ac:dyDescent="0.3">
      <c r="A47" s="3">
        <v>2022</v>
      </c>
      <c r="B47" s="8">
        <v>0.28000000000000003</v>
      </c>
      <c r="C47" s="5">
        <v>22810</v>
      </c>
      <c r="D47" s="5">
        <v>13656</v>
      </c>
      <c r="E47" s="3" t="s">
        <v>68</v>
      </c>
      <c r="F47" s="1"/>
      <c r="G47" s="1"/>
      <c r="H47" s="1"/>
      <c r="I47" s="1"/>
      <c r="J47" s="1"/>
    </row>
    <row r="48" spans="1:10" x14ac:dyDescent="0.3">
      <c r="A48" s="4">
        <v>2023</v>
      </c>
      <c r="B48" s="9">
        <v>0.25</v>
      </c>
      <c r="C48" s="6">
        <v>24193</v>
      </c>
      <c r="D48" s="6">
        <v>8891</v>
      </c>
      <c r="E48" s="4" t="s">
        <v>68</v>
      </c>
      <c r="F48" s="1"/>
      <c r="G48" s="1"/>
      <c r="H48" s="1"/>
      <c r="I48" s="1"/>
      <c r="J48" s="1"/>
    </row>
    <row r="49" spans="1:10" x14ac:dyDescent="0.3">
      <c r="A49" s="3">
        <v>2024</v>
      </c>
      <c r="B49" s="8">
        <v>0.28100000000000003</v>
      </c>
      <c r="C49" s="5">
        <v>27451</v>
      </c>
      <c r="D49" s="5">
        <v>7076</v>
      </c>
      <c r="E49" s="3" t="s">
        <v>68</v>
      </c>
      <c r="F49" s="1"/>
      <c r="G49" s="1"/>
      <c r="H49" s="1"/>
      <c r="I49" s="1"/>
      <c r="J49" s="1"/>
    </row>
    <row r="50" spans="1:10" x14ac:dyDescent="0.3">
      <c r="A50" s="4">
        <v>2025</v>
      </c>
      <c r="B50" s="9">
        <v>0.29499999999999998</v>
      </c>
      <c r="C50" s="6">
        <v>27979</v>
      </c>
      <c r="D50" s="6">
        <v>4355</v>
      </c>
      <c r="E50" s="4" t="s">
        <v>68</v>
      </c>
      <c r="F50" s="1"/>
      <c r="G50" s="1"/>
      <c r="H50" s="1"/>
      <c r="I50" s="1"/>
      <c r="J50" s="1"/>
    </row>
  </sheetData>
  <mergeCells count="2">
    <mergeCell ref="A1:J1"/>
    <mergeCell ref="A2:J2"/>
  </mergeCells>
  <pageMargins left="0.75" right="0.75" top="1" bottom="1" header="0.5" footer="0.5"/>
  <pageSetup fitToHeight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2F855A"/>
    <pageSetUpPr fitToPage="1"/>
  </sheetPr>
  <dimension ref="A1:H15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4" width="58" customWidth="1"/>
    <col min="5" max="5" width="36" customWidth="1"/>
    <col min="6" max="8" width="10" customWidth="1"/>
  </cols>
  <sheetData>
    <row r="1" spans="1:8" ht="28.05" customHeight="1" x14ac:dyDescent="0.3">
      <c r="A1" s="43" t="s">
        <v>538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539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540</v>
      </c>
      <c r="B4" s="2" t="s">
        <v>541</v>
      </c>
      <c r="C4" s="2" t="s">
        <v>542</v>
      </c>
      <c r="D4" s="2" t="s">
        <v>543</v>
      </c>
      <c r="E4" s="2" t="s">
        <v>544</v>
      </c>
      <c r="F4" s="1"/>
      <c r="G4" s="1"/>
      <c r="H4" s="1"/>
    </row>
    <row r="5" spans="1:8" x14ac:dyDescent="0.3">
      <c r="A5" s="3" t="s">
        <v>545</v>
      </c>
      <c r="B5" s="3" t="s">
        <v>546</v>
      </c>
      <c r="C5" s="3" t="e">
        <f>TEXT('09_S1_Step7_COGS'!B5/1000,"$0.000B")&amp;" + "&amp;TEXT('09_S1_Step7_COGS'!B6/1000,"$0.000B")&amp;" - "&amp;TEXT('09_S1_Step7_COGS'!B7/1000,"$0.000B")&amp;" = "&amp;TEXT('09_S1_Step7_COGS'!B8/1000,"$0.000B")&amp;"; variance = "&amp;TEXT('09_S1_Step7_COGS'!B10,"$0M")</f>
        <v>#VALUE!</v>
      </c>
      <c r="D5" s="22">
        <f>'09_S1_Step7_COGS'!B10</f>
        <v>0</v>
      </c>
      <c r="E5" s="3" t="str">
        <f>IF(ABS(D5)&lt;1,"PASS","CHECK")</f>
        <v>PASS</v>
      </c>
      <c r="F5" s="1"/>
      <c r="G5" s="1"/>
      <c r="H5" s="1"/>
    </row>
    <row r="6" spans="1:8" x14ac:dyDescent="0.3">
      <c r="A6" s="4" t="s">
        <v>547</v>
      </c>
      <c r="B6" s="4" t="s">
        <v>548</v>
      </c>
      <c r="C6" s="4" t="e">
        <f>TEXT('11_S1_Step9_Contribution'!D7/1000,"$0.000B")&amp;" - "&amp;TEXT(-'11_S1_Step9_Contribution'!D9/1000,"$0.000B")&amp;" = "&amp;TEXT('11_S1_Step9_Contribution'!D10/1000,"$0.000B")&amp;" gross profit"</f>
        <v>#VALUE!</v>
      </c>
      <c r="D6" s="23">
        <f>'11_S1_Step9_Contribution'!D7+'11_S1_Step9_Contribution'!D9-'11_S1_Step9_Contribution'!D10</f>
        <v>0</v>
      </c>
      <c r="E6" s="4" t="str">
        <f>IF(ABS(D6)&lt;1,"PASS","CHECK")</f>
        <v>PASS</v>
      </c>
      <c r="F6" s="1"/>
      <c r="G6" s="1"/>
      <c r="H6" s="1"/>
    </row>
    <row r="7" spans="1:8" x14ac:dyDescent="0.3">
      <c r="A7" s="3" t="s">
        <v>549</v>
      </c>
      <c r="B7" s="3" t="s">
        <v>550</v>
      </c>
      <c r="C7" s="3" t="e">
        <f>TEXT('11_S1_Step9_Contribution'!B18/1000,"$0.000B")&amp;" x "&amp;TEXT('11_S1_Step9_Contribution'!B16,"0.0%")&amp;" = "&amp;TEXT('11_S1_Step9_Contribution'!B17/1000,"$0.000B")&amp;" fixed costs"</f>
        <v>#VALUE!</v>
      </c>
      <c r="D7" s="22">
        <f>'11_S1_Step9_Contribution'!B18*'11_S1_Step9_Contribution'!B16-'11_S1_Step9_Contribution'!B17</f>
        <v>0</v>
      </c>
      <c r="E7" s="3" t="str">
        <f>IF(ABS(D7)&lt;2,"PASS","CHECK")</f>
        <v>PASS</v>
      </c>
      <c r="F7" s="1"/>
      <c r="G7" s="1"/>
      <c r="H7" s="1"/>
    </row>
    <row r="8" spans="1:8" x14ac:dyDescent="0.3">
      <c r="A8" s="4" t="s">
        <v>551</v>
      </c>
      <c r="B8" s="4" t="s">
        <v>552</v>
      </c>
      <c r="C8" s="4" t="e">
        <f>TEXT('11_S1_Step9_Contribution'!D7/1000,"$0.000B")&amp;" / "&amp;TEXT('11_S1_Step9_Contribution'!D12/1000,"$0.000B")&amp;" = "&amp;TEXT('11_S1_Step9_Contribution'!B21,"0.00x")</f>
        <v>#VALUE!</v>
      </c>
      <c r="D8" s="23">
        <f>'11_S1_Step9_Contribution'!D7/'11_S1_Step9_Contribution'!D12-'11_S1_Step9_Contribution'!B21</f>
        <v>0</v>
      </c>
      <c r="E8" s="4" t="str">
        <f>IF(ABS(D8)&lt;0.01,"PASS","CHECK")</f>
        <v>PASS</v>
      </c>
      <c r="F8" s="1"/>
      <c r="G8" s="1"/>
      <c r="H8" s="1"/>
    </row>
    <row r="9" spans="1:8" x14ac:dyDescent="0.3">
      <c r="A9" s="3" t="s">
        <v>553</v>
      </c>
      <c r="B9" s="3" t="s">
        <v>554</v>
      </c>
      <c r="C9" s="3" t="e">
        <f>TEXT(ABS('18_S2_Step7_Assumptions'!C24)/1000,"$0.000B")&amp;" GM impact &gt; "&amp;TEXT(ABS('18_S2_Step7_Assumptions'!C25)/1000,"$0.000B")&amp;" revenue impact"</f>
        <v>#VALUE!</v>
      </c>
      <c r="D9" s="22">
        <f>ABS('18_S2_Step7_Assumptions'!C24)-ABS('18_S2_Step7_Assumptions'!C25)</f>
        <v>543.97999999999911</v>
      </c>
      <c r="E9" s="3" t="str">
        <f>IF(D9&gt;0,"PASS","CHECK")</f>
        <v>PASS</v>
      </c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2" t="s">
        <v>555</v>
      </c>
      <c r="B12" s="2" t="s">
        <v>541</v>
      </c>
      <c r="C12" s="2" t="s">
        <v>542</v>
      </c>
      <c r="D12" s="2" t="s">
        <v>543</v>
      </c>
      <c r="E12" s="2" t="s">
        <v>544</v>
      </c>
      <c r="F12" s="1"/>
      <c r="G12" s="1"/>
      <c r="H12" s="1"/>
    </row>
    <row r="13" spans="1:8" x14ac:dyDescent="0.3">
      <c r="A13" s="3" t="s">
        <v>556</v>
      </c>
      <c r="B13" s="3" t="s">
        <v>557</v>
      </c>
      <c r="C13" s="3" t="e">
        <f>TEXT('03_S1_Step1_IS'!E5,"$#,##0M")&amp;" - "&amp;TEXT('11_S1_Step9_Contribution'!B18,"$#,##0M")&amp;" = "&amp;TEXT('11_S1_Step9_Contribution'!B19,"$#,##0M")</f>
        <v>#VALUE!</v>
      </c>
      <c r="D13" s="22">
        <f>'03_S1_Step1_IS'!E5-'11_S1_Step9_Contribution'!B18-'11_S1_Step9_Contribution'!B19</f>
        <v>0</v>
      </c>
      <c r="E13" s="3" t="str">
        <f>IF(ABS(D13)&lt;2,"PASS","CHECK")</f>
        <v>PASS</v>
      </c>
      <c r="F13" s="1"/>
      <c r="G13" s="1"/>
      <c r="H13" s="1"/>
    </row>
    <row r="14" spans="1:8" x14ac:dyDescent="0.3">
      <c r="A14" s="4" t="s">
        <v>558</v>
      </c>
      <c r="B14" s="4" t="s">
        <v>559</v>
      </c>
      <c r="C14" s="4" t="str">
        <f>TEXT('14_S2_Step3_DOL'!B17,"0.0%")&amp;" x "&amp;TEXT('14_S2_Step3_DOL'!B16,"0.00x")&amp;" = "&amp;TEXT('14_S2_Step3_DOL'!B18,"0.0%")</f>
        <v>-5.0% x 6.42x = -32.1%</v>
      </c>
      <c r="D14" s="23">
        <f>'14_S2_Step3_DOL'!B18-('14_S2_Step3_DOL'!B17*'14_S2_Step3_DOL'!B16)</f>
        <v>0</v>
      </c>
      <c r="E14" s="4" t="str">
        <f>IF(ABS(D14)&lt;0.001,"PASS","CHECK")</f>
        <v>PASS</v>
      </c>
      <c r="F14" s="1"/>
      <c r="G14" s="1"/>
      <c r="H14" s="1"/>
    </row>
    <row r="15" spans="1:8" x14ac:dyDescent="0.3">
      <c r="A15" s="3" t="s">
        <v>560</v>
      </c>
      <c r="B15" s="3" t="s">
        <v>561</v>
      </c>
      <c r="C15" s="3" t="e">
        <f>TEXT('10_S1_Step8_AbsVar'!B15,"$#,##0M")&amp;" = "&amp;TEXT('03_S1_Step1_IS'!E13,"$#,##0M")</f>
        <v>#VALUE!</v>
      </c>
      <c r="D15" s="22">
        <f>'10_S1_Step8_AbsVar'!B15-'03_S1_Step1_IS'!E13</f>
        <v>0</v>
      </c>
      <c r="E15" s="3" t="str">
        <f>IF(ABS(D15)&lt;1,"PASS","CHECK")</f>
        <v>PASS</v>
      </c>
      <c r="F15" s="1"/>
      <c r="G15" s="1"/>
      <c r="H15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5B400"/>
    <pageSetUpPr fitToPage="1"/>
  </sheetPr>
  <dimension ref="A1:H11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2" width="58" customWidth="1"/>
    <col min="3" max="3" width="23" customWidth="1"/>
    <col min="4" max="8" width="10" customWidth="1"/>
  </cols>
  <sheetData>
    <row r="1" spans="1:8" ht="28.05" customHeight="1" x14ac:dyDescent="0.3">
      <c r="A1" s="43" t="s">
        <v>562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563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564</v>
      </c>
      <c r="B4" s="2" t="s">
        <v>541</v>
      </c>
      <c r="C4" s="2" t="s">
        <v>565</v>
      </c>
      <c r="D4" s="1"/>
      <c r="E4" s="1"/>
      <c r="F4" s="1"/>
      <c r="G4" s="1"/>
      <c r="H4" s="1"/>
    </row>
    <row r="5" spans="1:8" x14ac:dyDescent="0.3">
      <c r="A5" s="3" t="s">
        <v>564</v>
      </c>
      <c r="B5" s="3" t="s">
        <v>566</v>
      </c>
      <c r="C5" s="3" t="s">
        <v>567</v>
      </c>
      <c r="D5" s="1"/>
      <c r="E5" s="1"/>
      <c r="F5" s="1"/>
      <c r="G5" s="1"/>
      <c r="H5" s="1"/>
    </row>
    <row r="6" spans="1:8" x14ac:dyDescent="0.3">
      <c r="A6" s="4" t="s">
        <v>568</v>
      </c>
      <c r="B6" s="4" t="s">
        <v>569</v>
      </c>
      <c r="C6" s="4" t="s">
        <v>570</v>
      </c>
      <c r="D6" s="1"/>
      <c r="E6" s="1"/>
      <c r="F6" s="1"/>
      <c r="G6" s="1"/>
      <c r="H6" s="1"/>
    </row>
    <row r="7" spans="1:8" ht="28.8" x14ac:dyDescent="0.3">
      <c r="A7" s="3" t="s">
        <v>571</v>
      </c>
      <c r="B7" s="3" t="s">
        <v>572</v>
      </c>
      <c r="C7" s="3" t="s">
        <v>573</v>
      </c>
      <c r="D7" s="1"/>
      <c r="E7" s="1"/>
      <c r="F7" s="1"/>
      <c r="G7" s="1"/>
      <c r="H7" s="1"/>
    </row>
    <row r="8" spans="1:8" ht="28.8" x14ac:dyDescent="0.3">
      <c r="A8" s="4" t="s">
        <v>574</v>
      </c>
      <c r="B8" s="4" t="s">
        <v>575</v>
      </c>
      <c r="C8" s="4" t="s">
        <v>576</v>
      </c>
      <c r="D8" s="1"/>
      <c r="E8" s="1"/>
      <c r="F8" s="1"/>
      <c r="G8" s="1"/>
      <c r="H8" s="1"/>
    </row>
    <row r="9" spans="1:8" x14ac:dyDescent="0.3">
      <c r="A9" s="3" t="s">
        <v>577</v>
      </c>
      <c r="B9" s="3" t="s">
        <v>578</v>
      </c>
      <c r="C9" s="3" t="s">
        <v>579</v>
      </c>
      <c r="D9" s="1"/>
      <c r="E9" s="1"/>
      <c r="F9" s="1"/>
      <c r="G9" s="1"/>
      <c r="H9" s="1"/>
    </row>
    <row r="10" spans="1:8" x14ac:dyDescent="0.3">
      <c r="A10" s="4" t="s">
        <v>580</v>
      </c>
      <c r="B10" s="4" t="s">
        <v>581</v>
      </c>
      <c r="C10" s="4" t="s">
        <v>582</v>
      </c>
      <c r="D10" s="1"/>
      <c r="E10" s="1"/>
      <c r="F10" s="1"/>
      <c r="G10" s="1"/>
      <c r="H10" s="1"/>
    </row>
    <row r="11" spans="1:8" x14ac:dyDescent="0.3">
      <c r="A11" s="3" t="s">
        <v>583</v>
      </c>
      <c r="B11" s="3" t="s">
        <v>584</v>
      </c>
      <c r="C11" s="3" t="s">
        <v>585</v>
      </c>
      <c r="D11" s="1"/>
      <c r="E11" s="1"/>
      <c r="F11" s="1"/>
      <c r="G11" s="1"/>
      <c r="H11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6A6E78"/>
    <pageSetUpPr fitToPage="1"/>
  </sheetPr>
  <dimension ref="A1:H16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2" width="42" customWidth="1"/>
    <col min="3" max="4" width="44" customWidth="1"/>
    <col min="5" max="8" width="11" customWidth="1"/>
  </cols>
  <sheetData>
    <row r="1" spans="1:8" ht="28.05" customHeight="1" x14ac:dyDescent="0.3">
      <c r="A1" s="42" t="s">
        <v>586</v>
      </c>
      <c r="B1" s="40"/>
      <c r="C1" s="40"/>
      <c r="D1" s="40"/>
      <c r="E1" s="40"/>
      <c r="F1" s="40"/>
      <c r="G1" s="40"/>
      <c r="H1" s="41"/>
    </row>
    <row r="2" spans="1:8" ht="24" customHeight="1" x14ac:dyDescent="0.3">
      <c r="A2" s="39" t="s">
        <v>587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6" t="s">
        <v>71</v>
      </c>
      <c r="B4" s="26" t="s">
        <v>19</v>
      </c>
      <c r="C4" s="26" t="s">
        <v>588</v>
      </c>
      <c r="D4" s="26" t="s">
        <v>589</v>
      </c>
      <c r="E4" s="25"/>
      <c r="F4" s="25"/>
      <c r="G4" s="25"/>
      <c r="H4" s="25"/>
    </row>
    <row r="5" spans="1:8" ht="28.8" x14ac:dyDescent="0.3">
      <c r="A5" s="25" t="s">
        <v>590</v>
      </c>
      <c r="B5" s="25" t="s">
        <v>591</v>
      </c>
      <c r="C5" s="25" t="s">
        <v>592</v>
      </c>
      <c r="D5" s="25" t="s">
        <v>593</v>
      </c>
      <c r="E5" s="25"/>
      <c r="F5" s="25"/>
      <c r="G5" s="25"/>
      <c r="H5" s="25"/>
    </row>
    <row r="6" spans="1:8" ht="28.8" x14ac:dyDescent="0.3">
      <c r="A6" s="27" t="s">
        <v>594</v>
      </c>
      <c r="B6" s="27" t="s">
        <v>595</v>
      </c>
      <c r="C6" s="27" t="s">
        <v>596</v>
      </c>
      <c r="D6" s="27" t="s">
        <v>597</v>
      </c>
      <c r="E6" s="25"/>
      <c r="F6" s="25"/>
      <c r="G6" s="25"/>
      <c r="H6" s="25"/>
    </row>
    <row r="7" spans="1:8" ht="28.8" x14ac:dyDescent="0.3">
      <c r="A7" s="25" t="s">
        <v>598</v>
      </c>
      <c r="B7" s="25" t="s">
        <v>599</v>
      </c>
      <c r="C7" s="25" t="s">
        <v>600</v>
      </c>
      <c r="D7" s="25" t="s">
        <v>601</v>
      </c>
      <c r="E7" s="25"/>
      <c r="F7" s="25"/>
      <c r="G7" s="25"/>
      <c r="H7" s="25"/>
    </row>
    <row r="8" spans="1:8" ht="28.8" x14ac:dyDescent="0.3">
      <c r="A8" s="27" t="s">
        <v>602</v>
      </c>
      <c r="B8" s="27" t="s">
        <v>603</v>
      </c>
      <c r="C8" s="27" t="s">
        <v>604</v>
      </c>
      <c r="D8" s="27" t="s">
        <v>605</v>
      </c>
      <c r="E8" s="25"/>
      <c r="F8" s="25"/>
      <c r="G8" s="25"/>
      <c r="H8" s="25"/>
    </row>
    <row r="9" spans="1:8" ht="28.8" x14ac:dyDescent="0.3">
      <c r="A9" s="25" t="s">
        <v>606</v>
      </c>
      <c r="B9" s="25" t="s">
        <v>607</v>
      </c>
      <c r="C9" s="25" t="s">
        <v>608</v>
      </c>
      <c r="D9" s="25" t="s">
        <v>609</v>
      </c>
      <c r="E9" s="25"/>
      <c r="F9" s="25"/>
      <c r="G9" s="25"/>
      <c r="H9" s="25"/>
    </row>
    <row r="10" spans="1:8" x14ac:dyDescent="0.3">
      <c r="A10" s="27" t="s">
        <v>610</v>
      </c>
      <c r="B10" s="27" t="s">
        <v>611</v>
      </c>
      <c r="C10" s="27" t="s">
        <v>612</v>
      </c>
      <c r="D10" s="27" t="s">
        <v>613</v>
      </c>
      <c r="E10" s="25"/>
      <c r="F10" s="25"/>
      <c r="G10" s="25"/>
      <c r="H10" s="25"/>
    </row>
    <row r="11" spans="1:8" ht="28.8" x14ac:dyDescent="0.3">
      <c r="A11" s="25" t="s">
        <v>614</v>
      </c>
      <c r="B11" s="25" t="s">
        <v>615</v>
      </c>
      <c r="C11" s="25" t="s">
        <v>616</v>
      </c>
      <c r="D11" s="25" t="s">
        <v>617</v>
      </c>
      <c r="E11" s="25"/>
      <c r="F11" s="25"/>
      <c r="G11" s="25"/>
      <c r="H11" s="25"/>
    </row>
    <row r="12" spans="1:8" x14ac:dyDescent="0.3">
      <c r="A12" s="27" t="s">
        <v>618</v>
      </c>
      <c r="B12" s="27" t="s">
        <v>619</v>
      </c>
      <c r="C12" s="27" t="s">
        <v>620</v>
      </c>
      <c r="D12" s="27" t="s">
        <v>621</v>
      </c>
      <c r="E12" s="25"/>
      <c r="F12" s="25"/>
      <c r="G12" s="25"/>
      <c r="H12" s="25"/>
    </row>
    <row r="13" spans="1:8" x14ac:dyDescent="0.3">
      <c r="A13" s="25" t="s">
        <v>622</v>
      </c>
      <c r="B13" s="25" t="s">
        <v>623</v>
      </c>
      <c r="C13" s="25" t="s">
        <v>624</v>
      </c>
      <c r="D13" s="25" t="s">
        <v>625</v>
      </c>
      <c r="E13" s="25"/>
      <c r="F13" s="25"/>
      <c r="G13" s="25"/>
      <c r="H13" s="25"/>
    </row>
    <row r="14" spans="1:8" ht="28.8" x14ac:dyDescent="0.3">
      <c r="A14" s="25" t="s">
        <v>626</v>
      </c>
      <c r="B14" s="25" t="s">
        <v>627</v>
      </c>
      <c r="C14" s="25" t="s">
        <v>628</v>
      </c>
      <c r="D14" s="25" t="s">
        <v>629</v>
      </c>
      <c r="E14" s="25"/>
      <c r="F14" s="25"/>
      <c r="G14" s="25"/>
      <c r="H14" s="25"/>
    </row>
    <row r="15" spans="1:8" ht="28.8" x14ac:dyDescent="0.3">
      <c r="A15" s="25" t="s">
        <v>630</v>
      </c>
      <c r="B15" s="25" t="s">
        <v>631</v>
      </c>
      <c r="C15" s="25" t="s">
        <v>632</v>
      </c>
      <c r="D15" s="25" t="s">
        <v>633</v>
      </c>
      <c r="E15" s="25"/>
      <c r="F15" s="25"/>
      <c r="G15" s="25"/>
      <c r="H15" s="25"/>
    </row>
    <row r="16" spans="1:8" ht="28.8" x14ac:dyDescent="0.3">
      <c r="A16" s="25" t="s">
        <v>634</v>
      </c>
      <c r="B16" s="25" t="s">
        <v>635</v>
      </c>
      <c r="C16" s="25" t="s">
        <v>636</v>
      </c>
      <c r="D16" s="25" t="s">
        <v>637</v>
      </c>
      <c r="E16" s="25"/>
      <c r="F16" s="25"/>
      <c r="G16" s="25"/>
      <c r="H16" s="25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2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2" width="36" customWidth="1"/>
    <col min="3" max="3" width="12" customWidth="1"/>
    <col min="4" max="4" width="36" customWidth="1"/>
    <col min="5" max="5" width="22" customWidth="1"/>
    <col min="6" max="6" width="44" customWidth="1"/>
    <col min="7" max="8" width="11" customWidth="1"/>
  </cols>
  <sheetData>
    <row r="1" spans="1:8" ht="34.049999999999997" customHeight="1" x14ac:dyDescent="0.3">
      <c r="A1" s="50" t="s">
        <v>638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639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71</v>
      </c>
      <c r="B4" s="28" t="s">
        <v>640</v>
      </c>
      <c r="C4" s="28" t="s">
        <v>641</v>
      </c>
      <c r="D4" s="28" t="s">
        <v>260</v>
      </c>
      <c r="E4" s="28" t="s">
        <v>642</v>
      </c>
      <c r="F4" s="28" t="s">
        <v>643</v>
      </c>
      <c r="G4" s="25"/>
      <c r="H4" s="25"/>
    </row>
    <row r="5" spans="1:8" x14ac:dyDescent="0.3">
      <c r="A5" s="29" t="s">
        <v>644</v>
      </c>
      <c r="B5" s="29" t="s">
        <v>645</v>
      </c>
      <c r="C5" s="29" t="s">
        <v>646</v>
      </c>
      <c r="D5" s="30">
        <f>'01_Source_Data'!H20</f>
        <v>82056</v>
      </c>
      <c r="E5" s="29" t="s">
        <v>647</v>
      </c>
      <c r="F5" s="29" t="s">
        <v>591</v>
      </c>
      <c r="G5" s="29"/>
      <c r="H5" s="29"/>
    </row>
    <row r="6" spans="1:8" x14ac:dyDescent="0.3">
      <c r="A6" s="29" t="s">
        <v>648</v>
      </c>
      <c r="B6" s="29" t="s">
        <v>649</v>
      </c>
      <c r="C6" s="29" t="s">
        <v>646</v>
      </c>
      <c r="D6" s="30">
        <f>'01_Source_Data'!I20</f>
        <v>68764</v>
      </c>
      <c r="E6" s="29" t="s">
        <v>647</v>
      </c>
      <c r="F6" s="29" t="s">
        <v>591</v>
      </c>
      <c r="G6" s="29"/>
      <c r="H6" s="29"/>
    </row>
    <row r="7" spans="1:8" x14ac:dyDescent="0.3">
      <c r="A7" s="29" t="s">
        <v>650</v>
      </c>
      <c r="B7" s="29" t="s">
        <v>651</v>
      </c>
      <c r="C7" s="29" t="s">
        <v>646</v>
      </c>
      <c r="D7" s="31">
        <f>'01_Source_Data'!E29</f>
        <v>1636129</v>
      </c>
      <c r="E7" s="29" t="s">
        <v>652</v>
      </c>
      <c r="F7" s="29" t="s">
        <v>607</v>
      </c>
      <c r="G7" s="29"/>
      <c r="H7" s="29"/>
    </row>
    <row r="8" spans="1:8" x14ac:dyDescent="0.3">
      <c r="A8" s="29" t="s">
        <v>653</v>
      </c>
      <c r="B8" s="29" t="s">
        <v>654</v>
      </c>
      <c r="C8" s="29" t="s">
        <v>646</v>
      </c>
      <c r="D8" s="32">
        <f>'01_Source_Data'!E5</f>
        <v>94827</v>
      </c>
      <c r="E8" s="29" t="s">
        <v>647</v>
      </c>
      <c r="F8" s="29" t="s">
        <v>591</v>
      </c>
      <c r="G8" s="29"/>
      <c r="H8" s="29"/>
    </row>
    <row r="9" spans="1:8" x14ac:dyDescent="0.3">
      <c r="A9" s="33" t="s">
        <v>655</v>
      </c>
      <c r="B9" s="33" t="s">
        <v>656</v>
      </c>
      <c r="C9" s="33" t="s">
        <v>657</v>
      </c>
      <c r="D9" s="33" t="s">
        <v>421</v>
      </c>
      <c r="E9" s="33" t="s">
        <v>658</v>
      </c>
      <c r="F9" s="33" t="s">
        <v>659</v>
      </c>
      <c r="G9" s="33"/>
      <c r="H9" s="33"/>
    </row>
    <row r="10" spans="1:8" x14ac:dyDescent="0.3">
      <c r="A10" s="33" t="s">
        <v>660</v>
      </c>
      <c r="B10" s="33" t="s">
        <v>661</v>
      </c>
      <c r="C10" s="33" t="s">
        <v>657</v>
      </c>
      <c r="D10" s="33" t="s">
        <v>662</v>
      </c>
      <c r="E10" s="33" t="s">
        <v>663</v>
      </c>
      <c r="F10" s="33" t="s">
        <v>664</v>
      </c>
      <c r="G10" s="33"/>
      <c r="H10" s="33"/>
    </row>
    <row r="11" spans="1:8" x14ac:dyDescent="0.3">
      <c r="A11" s="33" t="s">
        <v>665</v>
      </c>
      <c r="B11" s="33" t="s">
        <v>666</v>
      </c>
      <c r="C11" s="33" t="s">
        <v>657</v>
      </c>
      <c r="D11" s="34">
        <v>95023</v>
      </c>
      <c r="E11" s="33" t="s">
        <v>647</v>
      </c>
      <c r="F11" s="33" t="s">
        <v>667</v>
      </c>
      <c r="G11" s="33"/>
      <c r="H11" s="33"/>
    </row>
    <row r="12" spans="1:8" x14ac:dyDescent="0.3">
      <c r="A12" s="32" t="s">
        <v>668</v>
      </c>
      <c r="B12" s="32" t="s">
        <v>669</v>
      </c>
      <c r="C12" s="32" t="s">
        <v>670</v>
      </c>
      <c r="D12" s="35">
        <f>D5/D8</f>
        <v>0.86532316745230786</v>
      </c>
      <c r="E12" s="32" t="s">
        <v>671</v>
      </c>
      <c r="F12" s="32" t="s">
        <v>672</v>
      </c>
      <c r="G12" s="32"/>
      <c r="H12" s="32"/>
    </row>
    <row r="13" spans="1:8" x14ac:dyDescent="0.3">
      <c r="A13" s="32" t="s">
        <v>673</v>
      </c>
      <c r="B13" s="32" t="s">
        <v>674</v>
      </c>
      <c r="C13" s="32" t="s">
        <v>670</v>
      </c>
      <c r="D13" s="30">
        <f>D11*D12</f>
        <v>82225.603340820657</v>
      </c>
      <c r="E13" s="32" t="s">
        <v>647</v>
      </c>
      <c r="F13" s="32" t="s">
        <v>675</v>
      </c>
      <c r="G13" s="32"/>
      <c r="H13" s="32"/>
    </row>
    <row r="14" spans="1:8" x14ac:dyDescent="0.3">
      <c r="A14" s="33" t="s">
        <v>676</v>
      </c>
      <c r="B14" s="33" t="s">
        <v>677</v>
      </c>
      <c r="C14" s="33" t="s">
        <v>657</v>
      </c>
      <c r="D14" s="36">
        <v>1670000</v>
      </c>
      <c r="E14" s="33" t="s">
        <v>652</v>
      </c>
      <c r="F14" s="33" t="s">
        <v>678</v>
      </c>
      <c r="G14" s="33"/>
      <c r="H14" s="33"/>
    </row>
    <row r="15" spans="1:8" x14ac:dyDescent="0.3">
      <c r="A15" s="32" t="s">
        <v>679</v>
      </c>
      <c r="B15" s="32" t="s">
        <v>680</v>
      </c>
      <c r="C15" s="32" t="s">
        <v>670</v>
      </c>
      <c r="D15" s="30">
        <f>D13*1000000/D14</f>
        <v>49236.888228036325</v>
      </c>
      <c r="E15" s="32" t="s">
        <v>681</v>
      </c>
      <c r="F15" s="32" t="s">
        <v>682</v>
      </c>
      <c r="G15" s="32"/>
      <c r="H15" s="32"/>
    </row>
    <row r="16" spans="1:8" x14ac:dyDescent="0.3">
      <c r="A16" s="32" t="s">
        <v>683</v>
      </c>
      <c r="B16" s="32" t="s">
        <v>684</v>
      </c>
      <c r="C16" s="32" t="s">
        <v>670</v>
      </c>
      <c r="D16" s="30">
        <f>D6/D5</f>
        <v>0.83801306424880573</v>
      </c>
      <c r="E16" s="32" t="s">
        <v>671</v>
      </c>
      <c r="F16" s="32" t="s">
        <v>685</v>
      </c>
      <c r="G16" s="32"/>
      <c r="H16" s="32"/>
    </row>
    <row r="17" spans="1:8" x14ac:dyDescent="0.3">
      <c r="A17" s="32" t="s">
        <v>686</v>
      </c>
      <c r="B17" s="32" t="s">
        <v>687</v>
      </c>
      <c r="C17" s="32" t="s">
        <v>670</v>
      </c>
      <c r="D17" s="30">
        <f>D13*D16</f>
        <v>68906.129815347958</v>
      </c>
      <c r="E17" s="32" t="s">
        <v>647</v>
      </c>
      <c r="F17" s="32" t="s">
        <v>688</v>
      </c>
      <c r="G17" s="32"/>
      <c r="H17" s="32"/>
    </row>
    <row r="18" spans="1:8" x14ac:dyDescent="0.3">
      <c r="A18" s="32" t="s">
        <v>689</v>
      </c>
      <c r="B18" s="32" t="s">
        <v>690</v>
      </c>
      <c r="C18" s="32" t="s">
        <v>670</v>
      </c>
      <c r="D18" s="30">
        <f>D17*1000000/D14</f>
        <v>41261.155578052669</v>
      </c>
      <c r="E18" s="32" t="s">
        <v>681</v>
      </c>
      <c r="F18" s="32" t="s">
        <v>691</v>
      </c>
      <c r="G18" s="32"/>
      <c r="H18" s="32"/>
    </row>
    <row r="19" spans="1:8" x14ac:dyDescent="0.3">
      <c r="A19" s="33" t="s">
        <v>82</v>
      </c>
      <c r="B19" s="33" t="s">
        <v>692</v>
      </c>
      <c r="C19" s="33" t="s">
        <v>657</v>
      </c>
      <c r="D19" s="35">
        <f>'02_Assumptions_Audit'!F5</f>
        <v>0.6</v>
      </c>
      <c r="E19" s="33" t="s">
        <v>671</v>
      </c>
      <c r="F19" s="33" t="s">
        <v>693</v>
      </c>
      <c r="G19" s="33"/>
      <c r="H19" s="33"/>
    </row>
    <row r="20" spans="1:8" x14ac:dyDescent="0.3">
      <c r="A20" s="33" t="s">
        <v>89</v>
      </c>
      <c r="B20" s="33" t="s">
        <v>694</v>
      </c>
      <c r="C20" s="33" t="s">
        <v>657</v>
      </c>
      <c r="D20" s="35">
        <f>'02_Assumptions_Audit'!F6</f>
        <v>0.1</v>
      </c>
      <c r="E20" s="33" t="s">
        <v>671</v>
      </c>
      <c r="F20" s="33" t="s">
        <v>695</v>
      </c>
      <c r="G20" s="33"/>
      <c r="H20" s="33"/>
    </row>
    <row r="21" spans="1:8" x14ac:dyDescent="0.3">
      <c r="A21" s="33" t="s">
        <v>94</v>
      </c>
      <c r="B21" s="33" t="s">
        <v>696</v>
      </c>
      <c r="C21" s="33" t="s">
        <v>657</v>
      </c>
      <c r="D21" s="35">
        <f>'02_Assumptions_Audit'!F7</f>
        <v>0.3</v>
      </c>
      <c r="E21" s="33" t="s">
        <v>671</v>
      </c>
      <c r="F21" s="33" t="s">
        <v>697</v>
      </c>
      <c r="G21" s="33"/>
      <c r="H21" s="33"/>
    </row>
    <row r="22" spans="1:8" x14ac:dyDescent="0.3">
      <c r="A22" s="32" t="s">
        <v>698</v>
      </c>
      <c r="B22" s="32" t="s">
        <v>699</v>
      </c>
      <c r="C22" s="32" t="s">
        <v>670</v>
      </c>
      <c r="D22" s="30">
        <f>D18*D19</f>
        <v>24756.693346831602</v>
      </c>
      <c r="E22" s="32" t="s">
        <v>681</v>
      </c>
      <c r="F22" s="32" t="s">
        <v>700</v>
      </c>
      <c r="G22" s="32"/>
      <c r="H22" s="32"/>
    </row>
    <row r="23" spans="1:8" x14ac:dyDescent="0.3">
      <c r="A23" s="32" t="s">
        <v>701</v>
      </c>
      <c r="B23" s="32" t="s">
        <v>702</v>
      </c>
      <c r="C23" s="32" t="s">
        <v>670</v>
      </c>
      <c r="D23" s="30">
        <f>D18*D20</f>
        <v>4126.1155578052667</v>
      </c>
      <c r="E23" s="32" t="s">
        <v>681</v>
      </c>
      <c r="F23" s="32" t="s">
        <v>703</v>
      </c>
      <c r="G23" s="32"/>
      <c r="H23" s="32"/>
    </row>
    <row r="24" spans="1:8" x14ac:dyDescent="0.3">
      <c r="A24" s="32" t="s">
        <v>704</v>
      </c>
      <c r="B24" s="32" t="s">
        <v>705</v>
      </c>
      <c r="C24" s="32" t="s">
        <v>670</v>
      </c>
      <c r="D24" s="30">
        <f>D18*D21</f>
        <v>12378.346673415801</v>
      </c>
      <c r="E24" s="32" t="s">
        <v>681</v>
      </c>
      <c r="F24" s="32" t="s">
        <v>706</v>
      </c>
      <c r="G24" s="32"/>
      <c r="H24" s="32"/>
    </row>
    <row r="25" spans="1:8" x14ac:dyDescent="0.3">
      <c r="A25" s="33" t="s">
        <v>707</v>
      </c>
      <c r="B25" s="33" t="s">
        <v>708</v>
      </c>
      <c r="C25" s="33" t="s">
        <v>657</v>
      </c>
      <c r="D25" s="37">
        <v>0.23</v>
      </c>
      <c r="E25" s="33" t="s">
        <v>671</v>
      </c>
      <c r="F25" s="33" t="s">
        <v>709</v>
      </c>
      <c r="G25" s="33"/>
      <c r="H25" s="33"/>
    </row>
    <row r="26" spans="1:8" x14ac:dyDescent="0.3">
      <c r="A26" s="33" t="s">
        <v>707</v>
      </c>
      <c r="B26" s="33" t="s">
        <v>710</v>
      </c>
      <c r="C26" s="33" t="s">
        <v>657</v>
      </c>
      <c r="D26" s="37">
        <v>0.24</v>
      </c>
      <c r="E26" s="33" t="s">
        <v>671</v>
      </c>
      <c r="F26" s="33" t="s">
        <v>709</v>
      </c>
      <c r="G26" s="33"/>
      <c r="H26" s="33"/>
    </row>
    <row r="27" spans="1:8" x14ac:dyDescent="0.3">
      <c r="A27" s="33" t="s">
        <v>707</v>
      </c>
      <c r="B27" s="33" t="s">
        <v>711</v>
      </c>
      <c r="C27" s="33" t="s">
        <v>657</v>
      </c>
      <c r="D27" s="37">
        <v>0.25</v>
      </c>
      <c r="E27" s="33" t="s">
        <v>671</v>
      </c>
      <c r="F27" s="33" t="s">
        <v>709</v>
      </c>
      <c r="G27" s="33"/>
      <c r="H27" s="33"/>
    </row>
    <row r="28" spans="1:8" x14ac:dyDescent="0.3">
      <c r="A28" s="33" t="s">
        <v>707</v>
      </c>
      <c r="B28" s="33" t="s">
        <v>712</v>
      </c>
      <c r="C28" s="33" t="s">
        <v>657</v>
      </c>
      <c r="D28" s="37">
        <v>0.28000000000000003</v>
      </c>
      <c r="E28" s="33" t="s">
        <v>671</v>
      </c>
      <c r="F28" s="33" t="s">
        <v>709</v>
      </c>
      <c r="G28" s="33"/>
      <c r="H28" s="33"/>
    </row>
    <row r="29" spans="1:8" x14ac:dyDescent="0.3">
      <c r="A29" s="32" t="s">
        <v>713</v>
      </c>
      <c r="B29" s="32" t="s">
        <v>714</v>
      </c>
      <c r="C29" s="32" t="s">
        <v>670</v>
      </c>
      <c r="D29" s="35">
        <f>SUM(D25:D28)</f>
        <v>1</v>
      </c>
      <c r="E29" s="32" t="s">
        <v>671</v>
      </c>
      <c r="F29" s="32" t="s">
        <v>715</v>
      </c>
      <c r="G29" s="32"/>
      <c r="H29" s="32"/>
    </row>
    <row r="30" spans="1:8" x14ac:dyDescent="0.3">
      <c r="A30" s="33" t="s">
        <v>716</v>
      </c>
      <c r="B30" s="33" t="s">
        <v>717</v>
      </c>
      <c r="C30" s="33" t="s">
        <v>657</v>
      </c>
      <c r="D30" s="31">
        <f>ROUND(D14*1.03*D25,0)</f>
        <v>395623</v>
      </c>
      <c r="E30" s="33" t="s">
        <v>652</v>
      </c>
      <c r="F30" s="33" t="s">
        <v>718</v>
      </c>
      <c r="G30" s="33"/>
      <c r="H30" s="33"/>
    </row>
    <row r="31" spans="1:8" x14ac:dyDescent="0.3">
      <c r="A31" s="33" t="s">
        <v>719</v>
      </c>
      <c r="B31" s="33" t="s">
        <v>720</v>
      </c>
      <c r="C31" s="33" t="s">
        <v>657</v>
      </c>
      <c r="D31" s="37">
        <v>0.1</v>
      </c>
      <c r="E31" s="33" t="s">
        <v>721</v>
      </c>
      <c r="F31" s="33" t="s">
        <v>722</v>
      </c>
      <c r="G31" s="33"/>
      <c r="H31" s="33"/>
    </row>
    <row r="32" spans="1:8" x14ac:dyDescent="0.3">
      <c r="A32" s="33" t="s">
        <v>723</v>
      </c>
      <c r="B32" s="33" t="s">
        <v>724</v>
      </c>
      <c r="C32" s="33" t="s">
        <v>657</v>
      </c>
      <c r="D32" s="33">
        <v>1</v>
      </c>
      <c r="E32" s="33" t="s">
        <v>725</v>
      </c>
      <c r="F32" s="33" t="s">
        <v>726</v>
      </c>
      <c r="G32" s="33"/>
      <c r="H32" s="33"/>
    </row>
    <row r="33" spans="1:8" x14ac:dyDescent="0.3">
      <c r="A33" s="33" t="s">
        <v>727</v>
      </c>
      <c r="B33" s="33" t="s">
        <v>728</v>
      </c>
      <c r="C33" s="33" t="s">
        <v>657</v>
      </c>
      <c r="D33" s="33">
        <v>0.08</v>
      </c>
      <c r="E33" s="33" t="s">
        <v>729</v>
      </c>
      <c r="F33" s="33" t="s">
        <v>730</v>
      </c>
      <c r="G33" s="33"/>
      <c r="H33" s="33"/>
    </row>
    <row r="34" spans="1:8" x14ac:dyDescent="0.3">
      <c r="A34" s="33" t="s">
        <v>731</v>
      </c>
      <c r="B34" s="33" t="s">
        <v>732</v>
      </c>
      <c r="C34" s="33" t="s">
        <v>657</v>
      </c>
      <c r="D34" s="34">
        <v>50</v>
      </c>
      <c r="E34" s="33" t="s">
        <v>733</v>
      </c>
      <c r="F34" s="33" t="s">
        <v>734</v>
      </c>
      <c r="G34" s="33"/>
      <c r="H34" s="33"/>
    </row>
    <row r="35" spans="1:8" x14ac:dyDescent="0.3">
      <c r="A35" s="32" t="s">
        <v>735</v>
      </c>
      <c r="B35" s="32" t="s">
        <v>736</v>
      </c>
      <c r="C35" s="32" t="s">
        <v>670</v>
      </c>
      <c r="D35" s="31">
        <f>D23/D33</f>
        <v>51576.444472565832</v>
      </c>
      <c r="E35" s="32" t="s">
        <v>737</v>
      </c>
      <c r="F35" s="32" t="s">
        <v>738</v>
      </c>
      <c r="G35" s="32"/>
      <c r="H35" s="32"/>
    </row>
    <row r="36" spans="1:8" x14ac:dyDescent="0.3">
      <c r="A36" s="33" t="s">
        <v>739</v>
      </c>
      <c r="B36" s="33" t="s">
        <v>740</v>
      </c>
      <c r="C36" s="33" t="s">
        <v>657</v>
      </c>
      <c r="D36" s="37">
        <v>22000000</v>
      </c>
      <c r="E36" s="33" t="s">
        <v>741</v>
      </c>
      <c r="F36" s="33" t="s">
        <v>742</v>
      </c>
      <c r="G36" s="33"/>
      <c r="H36" s="33"/>
    </row>
    <row r="37" spans="1:8" x14ac:dyDescent="0.3">
      <c r="A37" s="33" t="s">
        <v>743</v>
      </c>
      <c r="B37" s="33" t="s">
        <v>744</v>
      </c>
      <c r="C37" s="33" t="s">
        <v>657</v>
      </c>
      <c r="D37" s="34">
        <v>0.03</v>
      </c>
      <c r="E37" s="33" t="s">
        <v>671</v>
      </c>
      <c r="F37" s="33" t="s">
        <v>745</v>
      </c>
      <c r="G37" s="33"/>
      <c r="H37" s="33"/>
    </row>
    <row r="38" spans="1:8" ht="28.8" x14ac:dyDescent="0.3">
      <c r="A38" s="33" t="s">
        <v>743</v>
      </c>
      <c r="B38" s="33" t="s">
        <v>746</v>
      </c>
      <c r="C38" s="33" t="s">
        <v>657</v>
      </c>
      <c r="D38" s="35">
        <f>'06_S1_Step4_HighLow'!F16*(1+D36)</f>
        <v>201520009160</v>
      </c>
      <c r="E38" s="33" t="s">
        <v>647</v>
      </c>
      <c r="F38" s="33" t="s">
        <v>747</v>
      </c>
      <c r="G38" s="33"/>
      <c r="H38" s="33"/>
    </row>
    <row r="39" spans="1:8" x14ac:dyDescent="0.3">
      <c r="A39" s="33" t="s">
        <v>748</v>
      </c>
      <c r="B39" s="33" t="s">
        <v>176</v>
      </c>
      <c r="C39" s="33" t="s">
        <v>657</v>
      </c>
      <c r="D39" s="33">
        <v>0.05</v>
      </c>
      <c r="E39" s="33" t="s">
        <v>671</v>
      </c>
      <c r="F39" s="33" t="s">
        <v>749</v>
      </c>
      <c r="G39" s="33"/>
      <c r="H39" s="33"/>
    </row>
    <row r="40" spans="1:8" x14ac:dyDescent="0.3">
      <c r="A40" s="33" t="s">
        <v>750</v>
      </c>
      <c r="B40" s="33" t="s">
        <v>751</v>
      </c>
      <c r="C40" s="33" t="s">
        <v>657</v>
      </c>
      <c r="D40" s="37">
        <v>0.15</v>
      </c>
      <c r="E40" s="33" t="s">
        <v>671</v>
      </c>
      <c r="F40" s="33" t="s">
        <v>752</v>
      </c>
      <c r="G40" s="33"/>
      <c r="H40" s="33"/>
    </row>
    <row r="41" spans="1:8" x14ac:dyDescent="0.3">
      <c r="A41" s="33" t="s">
        <v>753</v>
      </c>
      <c r="B41" s="33" t="s">
        <v>754</v>
      </c>
      <c r="C41" s="33" t="s">
        <v>657</v>
      </c>
      <c r="D41" s="33">
        <v>0.1</v>
      </c>
      <c r="E41" s="33" t="s">
        <v>755</v>
      </c>
      <c r="F41" s="33" t="s">
        <v>756</v>
      </c>
      <c r="G41" s="33"/>
      <c r="H41" s="33"/>
    </row>
    <row r="42" spans="1:8" x14ac:dyDescent="0.3">
      <c r="A42" s="25"/>
      <c r="B42" s="25"/>
      <c r="C42" s="25"/>
      <c r="D42" s="25"/>
      <c r="E42" s="25"/>
      <c r="F42" s="25"/>
      <c r="G42" s="25"/>
      <c r="H42" s="25"/>
    </row>
  </sheetData>
  <mergeCells count="2">
    <mergeCell ref="A2:H2"/>
    <mergeCell ref="A1:H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9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4" width="40" customWidth="1"/>
    <col min="5" max="5" width="39" customWidth="1"/>
    <col min="6" max="6" width="29" customWidth="1"/>
    <col min="7" max="7" width="12" customWidth="1"/>
    <col min="8" max="8" width="32" customWidth="1"/>
  </cols>
  <sheetData>
    <row r="1" spans="1:8" ht="34.049999999999997" customHeight="1" x14ac:dyDescent="0.3">
      <c r="A1" s="50" t="s">
        <v>757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758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426</v>
      </c>
      <c r="B4" s="28" t="s">
        <v>759</v>
      </c>
      <c r="C4" s="28" t="s">
        <v>760</v>
      </c>
      <c r="D4" s="28" t="s">
        <v>761</v>
      </c>
      <c r="E4" s="28" t="s">
        <v>762</v>
      </c>
      <c r="F4" s="28" t="s">
        <v>421</v>
      </c>
      <c r="G4" s="28" t="s">
        <v>641</v>
      </c>
      <c r="H4" s="28" t="s">
        <v>81</v>
      </c>
    </row>
    <row r="5" spans="1:8" x14ac:dyDescent="0.3">
      <c r="A5" s="33" t="s">
        <v>763</v>
      </c>
      <c r="B5" s="35">
        <f>'22_S3_Assumptions'!D25</f>
        <v>0.23</v>
      </c>
      <c r="C5" s="35">
        <f>'22_S3_Assumptions'!D26</f>
        <v>0.24</v>
      </c>
      <c r="D5" s="35">
        <f>'22_S3_Assumptions'!D27</f>
        <v>0.25</v>
      </c>
      <c r="E5" s="35">
        <f>'22_S3_Assumptions'!D28</f>
        <v>0.28000000000000003</v>
      </c>
      <c r="F5" s="35">
        <f>SUM(B5:E5)</f>
        <v>1</v>
      </c>
      <c r="G5" s="33" t="s">
        <v>657</v>
      </c>
      <c r="H5" s="33" t="s">
        <v>764</v>
      </c>
    </row>
    <row r="6" spans="1:8" x14ac:dyDescent="0.3">
      <c r="A6" s="32" t="s">
        <v>765</v>
      </c>
      <c r="B6" s="31">
        <f>ROUND('22_S3_Assumptions'!$D$14*B5,0)</f>
        <v>384100</v>
      </c>
      <c r="C6" s="31">
        <f>ROUND('22_S3_Assumptions'!$D$14*C5,0)</f>
        <v>400800</v>
      </c>
      <c r="D6" s="31">
        <f>ROUND('22_S3_Assumptions'!$D$14*D5,0)</f>
        <v>417500</v>
      </c>
      <c r="E6" s="31">
        <f>'22_S3_Assumptions'!$D$14-SUM(B6:D6)</f>
        <v>467600</v>
      </c>
      <c r="F6" s="31">
        <f>SUM(B6:E6)</f>
        <v>1670000</v>
      </c>
      <c r="G6" s="32" t="s">
        <v>670</v>
      </c>
      <c r="H6" s="32" t="s">
        <v>766</v>
      </c>
    </row>
    <row r="7" spans="1:8" x14ac:dyDescent="0.3">
      <c r="A7" s="32" t="s">
        <v>767</v>
      </c>
      <c r="B7" s="30">
        <f>'22_S3_Assumptions'!$D$15</f>
        <v>49236.888228036325</v>
      </c>
      <c r="C7" s="30">
        <f>'22_S3_Assumptions'!$D$15</f>
        <v>49236.888228036325</v>
      </c>
      <c r="D7" s="30">
        <f>'22_S3_Assumptions'!$D$15</f>
        <v>49236.888228036325</v>
      </c>
      <c r="E7" s="30">
        <f>'22_S3_Assumptions'!$D$15</f>
        <v>49236.888228036325</v>
      </c>
      <c r="F7" s="30">
        <f>'22_S3_Assumptions'!$D$15</f>
        <v>49236.888228036325</v>
      </c>
      <c r="G7" s="32" t="s">
        <v>670</v>
      </c>
      <c r="H7" s="32" t="s">
        <v>768</v>
      </c>
    </row>
    <row r="8" spans="1:8" x14ac:dyDescent="0.3">
      <c r="A8" s="32" t="s">
        <v>769</v>
      </c>
      <c r="B8" s="30">
        <f>B6*B7/1000000</f>
        <v>18911.888768388751</v>
      </c>
      <c r="C8" s="30">
        <f>C6*C7/1000000</f>
        <v>19734.14480179696</v>
      </c>
      <c r="D8" s="30">
        <f>D6*D7/1000000</f>
        <v>20556.400835205164</v>
      </c>
      <c r="E8" s="30">
        <f>E6*E7/1000000</f>
        <v>23023.168935429785</v>
      </c>
      <c r="F8" s="30">
        <f>SUM(B8:E8)</f>
        <v>82225.603340820657</v>
      </c>
      <c r="G8" s="32" t="s">
        <v>670</v>
      </c>
      <c r="H8" s="32" t="s">
        <v>770</v>
      </c>
    </row>
    <row r="9" spans="1:8" x14ac:dyDescent="0.3">
      <c r="A9" s="32" t="s">
        <v>771</v>
      </c>
      <c r="B9" s="30"/>
      <c r="C9" s="30"/>
      <c r="D9" s="30"/>
      <c r="E9" s="30"/>
      <c r="F9" s="30">
        <f>F8-'22_S3_Assumptions'!D13</f>
        <v>0</v>
      </c>
      <c r="G9" s="32" t="s">
        <v>670</v>
      </c>
      <c r="H9" s="32" t="s">
        <v>772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1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4" width="40" customWidth="1"/>
    <col min="5" max="5" width="44" customWidth="1"/>
    <col min="6" max="6" width="19" customWidth="1"/>
    <col min="7" max="7" width="12" customWidth="1"/>
    <col min="8" max="8" width="40" customWidth="1"/>
  </cols>
  <sheetData>
    <row r="1" spans="1:8" ht="34.049999999999997" customHeight="1" x14ac:dyDescent="0.3">
      <c r="A1" s="50" t="s">
        <v>773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774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426</v>
      </c>
      <c r="B4" s="28" t="s">
        <v>759</v>
      </c>
      <c r="C4" s="28" t="s">
        <v>760</v>
      </c>
      <c r="D4" s="28" t="s">
        <v>761</v>
      </c>
      <c r="E4" s="28" t="s">
        <v>762</v>
      </c>
      <c r="F4" s="28" t="s">
        <v>421</v>
      </c>
      <c r="G4" s="28" t="s">
        <v>641</v>
      </c>
      <c r="H4" s="28" t="s">
        <v>81</v>
      </c>
    </row>
    <row r="5" spans="1:8" x14ac:dyDescent="0.3">
      <c r="A5" s="32" t="s">
        <v>775</v>
      </c>
      <c r="B5" s="31">
        <f>'23_S3_Step1_Sales'!B6</f>
        <v>384100</v>
      </c>
      <c r="C5" s="31">
        <f>'23_S3_Step1_Sales'!C6</f>
        <v>400800</v>
      </c>
      <c r="D5" s="31">
        <f>'23_S3_Step1_Sales'!D6</f>
        <v>417500</v>
      </c>
      <c r="E5" s="31">
        <f>'23_S3_Step1_Sales'!E6</f>
        <v>467600</v>
      </c>
      <c r="F5" s="31">
        <f>SUM(B5:E5)</f>
        <v>1670000</v>
      </c>
      <c r="G5" s="32" t="s">
        <v>670</v>
      </c>
      <c r="H5" s="32" t="s">
        <v>776</v>
      </c>
    </row>
    <row r="6" spans="1:8" x14ac:dyDescent="0.3">
      <c r="A6" s="32" t="s">
        <v>777</v>
      </c>
      <c r="B6" s="31">
        <f>ROUND(B5*'22_S3_Assumptions'!$D$31,0)</f>
        <v>38410</v>
      </c>
      <c r="C6" s="31">
        <f>B7</f>
        <v>40080</v>
      </c>
      <c r="D6" s="31">
        <f>C7</f>
        <v>41750</v>
      </c>
      <c r="E6" s="31">
        <f>D7</f>
        <v>46760</v>
      </c>
      <c r="F6" s="31">
        <f>B6</f>
        <v>38410</v>
      </c>
      <c r="G6" s="32" t="s">
        <v>670</v>
      </c>
      <c r="H6" s="32" t="s">
        <v>778</v>
      </c>
    </row>
    <row r="7" spans="1:8" x14ac:dyDescent="0.3">
      <c r="A7" s="32" t="s">
        <v>779</v>
      </c>
      <c r="B7" s="31">
        <f>ROUND(C5*'22_S3_Assumptions'!$D$31,0)</f>
        <v>40080</v>
      </c>
      <c r="C7" s="31">
        <f>ROUND(D5*'22_S3_Assumptions'!$D$31,0)</f>
        <v>41750</v>
      </c>
      <c r="D7" s="31">
        <f>ROUND(E5*'22_S3_Assumptions'!$D$31,0)</f>
        <v>46760</v>
      </c>
      <c r="E7" s="31">
        <f>ROUND('22_S3_Assumptions'!$D$30*'22_S3_Assumptions'!$D$31,0)</f>
        <v>39562</v>
      </c>
      <c r="F7" s="31">
        <f>E7</f>
        <v>39562</v>
      </c>
      <c r="G7" s="32" t="s">
        <v>670</v>
      </c>
      <c r="H7" s="32" t="s">
        <v>780</v>
      </c>
    </row>
    <row r="8" spans="1:8" x14ac:dyDescent="0.3">
      <c r="A8" s="32" t="s">
        <v>781</v>
      </c>
      <c r="B8" s="31">
        <f>B5+B7</f>
        <v>424180</v>
      </c>
      <c r="C8" s="31">
        <f>C5+C7</f>
        <v>442550</v>
      </c>
      <c r="D8" s="31">
        <f>D5+D7</f>
        <v>464260</v>
      </c>
      <c r="E8" s="31">
        <f>E5+E7</f>
        <v>507162</v>
      </c>
      <c r="F8" s="31">
        <f>F5+F7</f>
        <v>1709562</v>
      </c>
      <c r="G8" s="32" t="s">
        <v>670</v>
      </c>
      <c r="H8" s="32" t="s">
        <v>782</v>
      </c>
    </row>
    <row r="9" spans="1:8" x14ac:dyDescent="0.3">
      <c r="A9" s="32" t="s">
        <v>783</v>
      </c>
      <c r="B9" s="31">
        <f>B8-B6</f>
        <v>385770</v>
      </c>
      <c r="C9" s="31">
        <f>C8-C6</f>
        <v>402470</v>
      </c>
      <c r="D9" s="31">
        <f>D8-D6</f>
        <v>422510</v>
      </c>
      <c r="E9" s="31">
        <f>E8-E6</f>
        <v>460402</v>
      </c>
      <c r="F9" s="31">
        <f>SUM(B9:E9)</f>
        <v>1671152</v>
      </c>
      <c r="G9" s="32" t="s">
        <v>670</v>
      </c>
      <c r="H9" s="32" t="s">
        <v>784</v>
      </c>
    </row>
    <row r="10" spans="1:8" x14ac:dyDescent="0.3">
      <c r="A10" s="32" t="s">
        <v>785</v>
      </c>
      <c r="B10" s="31">
        <f>B9-B5</f>
        <v>1670</v>
      </c>
      <c r="C10" s="31">
        <f>C9-C5</f>
        <v>1670</v>
      </c>
      <c r="D10" s="31">
        <f>D9-D5</f>
        <v>5010</v>
      </c>
      <c r="E10" s="31">
        <f>E9-E5</f>
        <v>-7198</v>
      </c>
      <c r="F10" s="31">
        <f>F9-F5</f>
        <v>1152</v>
      </c>
      <c r="G10" s="32" t="s">
        <v>670</v>
      </c>
      <c r="H10" s="32" t="s">
        <v>786</v>
      </c>
    </row>
    <row r="11" spans="1:8" x14ac:dyDescent="0.3">
      <c r="A11" s="33" t="s">
        <v>787</v>
      </c>
      <c r="B11" s="33" t="s">
        <v>788</v>
      </c>
      <c r="C11" s="33" t="s">
        <v>788</v>
      </c>
      <c r="D11" s="33" t="s">
        <v>788</v>
      </c>
      <c r="E11" s="33" t="s">
        <v>788</v>
      </c>
      <c r="F11" s="33" t="s">
        <v>788</v>
      </c>
      <c r="G11" s="33" t="s">
        <v>657</v>
      </c>
      <c r="H11" s="33" t="s">
        <v>789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4" width="40" customWidth="1"/>
    <col min="5" max="5" width="44" customWidth="1"/>
    <col min="6" max="6" width="28" customWidth="1"/>
    <col min="7" max="7" width="12" customWidth="1"/>
    <col min="8" max="8" width="32" customWidth="1"/>
  </cols>
  <sheetData>
    <row r="1" spans="1:8" ht="34.049999999999997" customHeight="1" x14ac:dyDescent="0.3">
      <c r="A1" s="50" t="s">
        <v>790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791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426</v>
      </c>
      <c r="B4" s="28" t="s">
        <v>759</v>
      </c>
      <c r="C4" s="28" t="s">
        <v>760</v>
      </c>
      <c r="D4" s="28" t="s">
        <v>761</v>
      </c>
      <c r="E4" s="28" t="s">
        <v>762</v>
      </c>
      <c r="F4" s="28" t="s">
        <v>421</v>
      </c>
      <c r="G4" s="28" t="s">
        <v>641</v>
      </c>
      <c r="H4" s="28" t="s">
        <v>81</v>
      </c>
    </row>
    <row r="5" spans="1:8" x14ac:dyDescent="0.3">
      <c r="A5" s="32" t="s">
        <v>783</v>
      </c>
      <c r="B5" s="31">
        <f>'24_S3_Step2_Production'!B9</f>
        <v>385770</v>
      </c>
      <c r="C5" s="31">
        <f>'24_S3_Step2_Production'!C9</f>
        <v>402470</v>
      </c>
      <c r="D5" s="31">
        <f>'24_S3_Step2_Production'!D9</f>
        <v>422510</v>
      </c>
      <c r="E5" s="31">
        <f>'24_S3_Step2_Production'!E9</f>
        <v>460402</v>
      </c>
      <c r="F5" s="31">
        <f>SUM(B5:E5)</f>
        <v>1671152</v>
      </c>
      <c r="G5" s="32" t="s">
        <v>670</v>
      </c>
      <c r="H5" s="32" t="s">
        <v>792</v>
      </c>
    </row>
    <row r="6" spans="1:8" x14ac:dyDescent="0.3">
      <c r="A6" s="33" t="s">
        <v>793</v>
      </c>
      <c r="B6" s="31">
        <f>'22_S3_Assumptions'!$D$32</f>
        <v>1</v>
      </c>
      <c r="C6" s="31">
        <f>'22_S3_Assumptions'!$D$32</f>
        <v>1</v>
      </c>
      <c r="D6" s="31">
        <f>'22_S3_Assumptions'!$D$32</f>
        <v>1</v>
      </c>
      <c r="E6" s="31">
        <f>'22_S3_Assumptions'!$D$32</f>
        <v>1</v>
      </c>
      <c r="F6" s="31">
        <f>'22_S3_Assumptions'!$D$32</f>
        <v>1</v>
      </c>
      <c r="G6" s="33" t="s">
        <v>657</v>
      </c>
      <c r="H6" s="33" t="s">
        <v>726</v>
      </c>
    </row>
    <row r="7" spans="1:8" x14ac:dyDescent="0.3">
      <c r="A7" s="32" t="s">
        <v>794</v>
      </c>
      <c r="B7" s="31">
        <f>B5*B6</f>
        <v>385770</v>
      </c>
      <c r="C7" s="31">
        <f>C5*C6</f>
        <v>402470</v>
      </c>
      <c r="D7" s="31">
        <f>D5*D6</f>
        <v>422510</v>
      </c>
      <c r="E7" s="31">
        <f>E5*E6</f>
        <v>460402</v>
      </c>
      <c r="F7" s="31">
        <f>SUM(B7:E7)</f>
        <v>1671152</v>
      </c>
      <c r="G7" s="32" t="s">
        <v>670</v>
      </c>
      <c r="H7" s="32" t="s">
        <v>795</v>
      </c>
    </row>
    <row r="8" spans="1:8" x14ac:dyDescent="0.3">
      <c r="A8" s="32" t="s">
        <v>796</v>
      </c>
      <c r="B8" s="31">
        <f>ROUND(B5*'22_S3_Assumptions'!$D$33,0)</f>
        <v>30862</v>
      </c>
      <c r="C8" s="31">
        <f>B9</f>
        <v>32198</v>
      </c>
      <c r="D8" s="31">
        <f>C9</f>
        <v>33801</v>
      </c>
      <c r="E8" s="31">
        <f>D9</f>
        <v>36832</v>
      </c>
      <c r="F8" s="31">
        <f>B8</f>
        <v>30862</v>
      </c>
      <c r="G8" s="32" t="s">
        <v>670</v>
      </c>
      <c r="H8" s="32" t="s">
        <v>797</v>
      </c>
    </row>
    <row r="9" spans="1:8" x14ac:dyDescent="0.3">
      <c r="A9" s="32" t="s">
        <v>798</v>
      </c>
      <c r="B9" s="31">
        <f>ROUND(C5*'22_S3_Assumptions'!$D$33,0)</f>
        <v>32198</v>
      </c>
      <c r="C9" s="31">
        <f>ROUND(D5*'22_S3_Assumptions'!$D$33,0)</f>
        <v>33801</v>
      </c>
      <c r="D9" s="31">
        <f>ROUND(E5*'22_S3_Assumptions'!$D$33,0)</f>
        <v>36832</v>
      </c>
      <c r="E9" s="31">
        <f>ROUND('22_S3_Assumptions'!$D$30*'22_S3_Assumptions'!$D$33,0)</f>
        <v>31650</v>
      </c>
      <c r="F9" s="31">
        <f>E9</f>
        <v>31650</v>
      </c>
      <c r="G9" s="32" t="s">
        <v>670</v>
      </c>
      <c r="H9" s="32" t="s">
        <v>799</v>
      </c>
    </row>
    <row r="10" spans="1:8" x14ac:dyDescent="0.3">
      <c r="A10" s="32" t="s">
        <v>800</v>
      </c>
      <c r="B10" s="31">
        <f>B7+B9-B8</f>
        <v>387106</v>
      </c>
      <c r="C10" s="31">
        <f>C7+C9-C8</f>
        <v>404073</v>
      </c>
      <c r="D10" s="31">
        <f>D7+D9-D8</f>
        <v>425541</v>
      </c>
      <c r="E10" s="31">
        <f>E7+E9-E8</f>
        <v>455220</v>
      </c>
      <c r="F10" s="31">
        <f>SUM(B10:E10)</f>
        <v>1671940</v>
      </c>
      <c r="G10" s="32" t="s">
        <v>670</v>
      </c>
      <c r="H10" s="32" t="s">
        <v>801</v>
      </c>
    </row>
    <row r="11" spans="1:8" x14ac:dyDescent="0.3">
      <c r="A11" s="32" t="s">
        <v>802</v>
      </c>
      <c r="B11" s="30">
        <f>'22_S3_Assumptions'!$D$22</f>
        <v>24756.693346831602</v>
      </c>
      <c r="C11" s="30">
        <f>'22_S3_Assumptions'!$D$22</f>
        <v>24756.693346831602</v>
      </c>
      <c r="D11" s="30">
        <f>'22_S3_Assumptions'!$D$22</f>
        <v>24756.693346831602</v>
      </c>
      <c r="E11" s="30">
        <f>'22_S3_Assumptions'!$D$22</f>
        <v>24756.693346831602</v>
      </c>
      <c r="F11" s="30">
        <f>'22_S3_Assumptions'!$D$22</f>
        <v>24756.693346831602</v>
      </c>
      <c r="G11" s="32" t="s">
        <v>670</v>
      </c>
      <c r="H11" s="32" t="s">
        <v>803</v>
      </c>
    </row>
    <row r="12" spans="1:8" x14ac:dyDescent="0.3">
      <c r="A12" s="32" t="s">
        <v>804</v>
      </c>
      <c r="B12" s="30">
        <f>B7*B11/1000000</f>
        <v>9550.3895924072258</v>
      </c>
      <c r="C12" s="30">
        <f>C7*C11/1000000</f>
        <v>9963.8263712993139</v>
      </c>
      <c r="D12" s="30">
        <f>D7*D11/1000000</f>
        <v>10459.95050596982</v>
      </c>
      <c r="E12" s="30">
        <f>E7*E11/1000000</f>
        <v>11398.031130267964</v>
      </c>
      <c r="F12" s="30">
        <f>SUM(B12:E12)</f>
        <v>41372.197599944324</v>
      </c>
      <c r="G12" s="32" t="s">
        <v>670</v>
      </c>
      <c r="H12" s="32" t="s">
        <v>805</v>
      </c>
    </row>
    <row r="13" spans="1:8" x14ac:dyDescent="0.3">
      <c r="A13" s="32" t="s">
        <v>806</v>
      </c>
      <c r="B13" s="30">
        <f>B10*B11/1000000</f>
        <v>9583.4645347185942</v>
      </c>
      <c r="C13" s="30">
        <f>C10*C11/1000000</f>
        <v>10003.511350734285</v>
      </c>
      <c r="D13" s="30">
        <f>D10*D11/1000000</f>
        <v>10534.988043504067</v>
      </c>
      <c r="E13" s="30">
        <f>E10*E11/1000000</f>
        <v>11269.741945344682</v>
      </c>
      <c r="F13" s="30">
        <f>SUM(B13:E13)</f>
        <v>41391.705874301624</v>
      </c>
      <c r="G13" s="32" t="s">
        <v>670</v>
      </c>
      <c r="H13" s="32" t="s">
        <v>807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1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5" width="30" customWidth="1"/>
    <col min="6" max="6" width="28" customWidth="1"/>
    <col min="7" max="7" width="12" customWidth="1"/>
    <col min="8" max="8" width="35" customWidth="1"/>
  </cols>
  <sheetData>
    <row r="1" spans="1:8" ht="34.049999999999997" customHeight="1" x14ac:dyDescent="0.3">
      <c r="A1" s="50" t="s">
        <v>808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809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426</v>
      </c>
      <c r="B4" s="28" t="s">
        <v>759</v>
      </c>
      <c r="C4" s="28" t="s">
        <v>760</v>
      </c>
      <c r="D4" s="28" t="s">
        <v>761</v>
      </c>
      <c r="E4" s="28" t="s">
        <v>762</v>
      </c>
      <c r="F4" s="28" t="s">
        <v>421</v>
      </c>
      <c r="G4" s="28" t="s">
        <v>641</v>
      </c>
      <c r="H4" s="28" t="s">
        <v>81</v>
      </c>
    </row>
    <row r="5" spans="1:8" x14ac:dyDescent="0.3">
      <c r="A5" s="32" t="s">
        <v>783</v>
      </c>
      <c r="B5" s="31">
        <f>'24_S3_Step2_Production'!B9</f>
        <v>385770</v>
      </c>
      <c r="C5" s="31">
        <f>'24_S3_Step2_Production'!C9</f>
        <v>402470</v>
      </c>
      <c r="D5" s="31">
        <f>'24_S3_Step2_Production'!D9</f>
        <v>422510</v>
      </c>
      <c r="E5" s="31">
        <f>'24_S3_Step2_Production'!E9</f>
        <v>460402</v>
      </c>
      <c r="F5" s="31">
        <f>SUM(B5:E5)</f>
        <v>1671152</v>
      </c>
      <c r="G5" s="32" t="s">
        <v>670</v>
      </c>
      <c r="H5" s="32" t="s">
        <v>792</v>
      </c>
    </row>
    <row r="6" spans="1:8" x14ac:dyDescent="0.3">
      <c r="A6" s="33" t="s">
        <v>810</v>
      </c>
      <c r="B6" s="32">
        <f>'22_S3_Assumptions'!$D$34</f>
        <v>50</v>
      </c>
      <c r="C6" s="32">
        <f>'22_S3_Assumptions'!$D$34</f>
        <v>50</v>
      </c>
      <c r="D6" s="32">
        <f>'22_S3_Assumptions'!$D$34</f>
        <v>50</v>
      </c>
      <c r="E6" s="32">
        <f>'22_S3_Assumptions'!$D$34</f>
        <v>50</v>
      </c>
      <c r="F6" s="32">
        <f>'22_S3_Assumptions'!$D$34</f>
        <v>50</v>
      </c>
      <c r="G6" s="33" t="s">
        <v>657</v>
      </c>
      <c r="H6" s="33" t="s">
        <v>811</v>
      </c>
    </row>
    <row r="7" spans="1:8" x14ac:dyDescent="0.3">
      <c r="A7" s="32" t="s">
        <v>812</v>
      </c>
      <c r="B7" s="31">
        <f>B5*B6</f>
        <v>19288500</v>
      </c>
      <c r="C7" s="31">
        <f>C5*C6</f>
        <v>20123500</v>
      </c>
      <c r="D7" s="31">
        <f>D5*D6</f>
        <v>21125500</v>
      </c>
      <c r="E7" s="31">
        <f>E5*E6</f>
        <v>23020100</v>
      </c>
      <c r="F7" s="31">
        <f>SUM(B7:E7)</f>
        <v>83557600</v>
      </c>
      <c r="G7" s="32" t="s">
        <v>670</v>
      </c>
      <c r="H7" s="32" t="s">
        <v>813</v>
      </c>
    </row>
    <row r="8" spans="1:8" x14ac:dyDescent="0.3">
      <c r="A8" s="32" t="s">
        <v>736</v>
      </c>
      <c r="B8" s="30">
        <f>'22_S3_Assumptions'!$D$35</f>
        <v>51576.444472565832</v>
      </c>
      <c r="C8" s="30">
        <f>'22_S3_Assumptions'!$D$35</f>
        <v>51576.444472565832</v>
      </c>
      <c r="D8" s="30">
        <f>'22_S3_Assumptions'!$D$35</f>
        <v>51576.444472565832</v>
      </c>
      <c r="E8" s="30">
        <f>'22_S3_Assumptions'!$D$35</f>
        <v>51576.444472565832</v>
      </c>
      <c r="F8" s="30">
        <f>'22_S3_Assumptions'!$D$35</f>
        <v>51576.444472565832</v>
      </c>
      <c r="G8" s="32" t="s">
        <v>670</v>
      </c>
      <c r="H8" s="32" t="s">
        <v>814</v>
      </c>
    </row>
    <row r="9" spans="1:8" x14ac:dyDescent="0.3">
      <c r="A9" s="32" t="s">
        <v>815</v>
      </c>
      <c r="B9" s="30">
        <f>B7*B8/1000000</f>
        <v>994832.24920908606</v>
      </c>
      <c r="C9" s="30">
        <f>C7*C8/1000000</f>
        <v>1037898.5803436785</v>
      </c>
      <c r="D9" s="30">
        <f>D7*D8/1000000</f>
        <v>1089578.1777051894</v>
      </c>
      <c r="E9" s="30">
        <f>E7*E8/1000000</f>
        <v>1187294.9094029125</v>
      </c>
      <c r="F9" s="30">
        <f>SUM(B9:E9)</f>
        <v>4309603.9166608667</v>
      </c>
      <c r="G9" s="32" t="s">
        <v>670</v>
      </c>
      <c r="H9" s="32" t="s">
        <v>816</v>
      </c>
    </row>
    <row r="10" spans="1:8" x14ac:dyDescent="0.3">
      <c r="A10" s="33" t="s">
        <v>817</v>
      </c>
      <c r="B10" s="31">
        <f>'22_S3_Assumptions'!$D$36</f>
        <v>22000000</v>
      </c>
      <c r="C10" s="31">
        <f>'22_S3_Assumptions'!$D$36</f>
        <v>22000000</v>
      </c>
      <c r="D10" s="31">
        <f>'22_S3_Assumptions'!$D$36</f>
        <v>22000000</v>
      </c>
      <c r="E10" s="31">
        <f>'22_S3_Assumptions'!$D$36</f>
        <v>22000000</v>
      </c>
      <c r="F10" s="31">
        <f>SUM(B10:E10)</f>
        <v>88000000</v>
      </c>
      <c r="G10" s="33" t="s">
        <v>657</v>
      </c>
      <c r="H10" s="33" t="s">
        <v>742</v>
      </c>
    </row>
    <row r="11" spans="1:8" x14ac:dyDescent="0.3">
      <c r="A11" s="32" t="s">
        <v>818</v>
      </c>
      <c r="B11" s="31">
        <f>B10-B7</f>
        <v>2711500</v>
      </c>
      <c r="C11" s="31">
        <f>C10-C7</f>
        <v>1876500</v>
      </c>
      <c r="D11" s="31">
        <f>D10-D7</f>
        <v>874500</v>
      </c>
      <c r="E11" s="31">
        <f>E10-E7</f>
        <v>-1020100</v>
      </c>
      <c r="F11" s="31">
        <f>F10-F7</f>
        <v>4442400</v>
      </c>
      <c r="G11" s="32" t="s">
        <v>670</v>
      </c>
      <c r="H11" s="32" t="s">
        <v>819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6" width="44" customWidth="1"/>
    <col min="7" max="7" width="12" customWidth="1"/>
    <col min="8" max="8" width="43" customWidth="1"/>
  </cols>
  <sheetData>
    <row r="1" spans="1:8" ht="34.049999999999997" customHeight="1" x14ac:dyDescent="0.3">
      <c r="A1" s="50" t="s">
        <v>820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821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426</v>
      </c>
      <c r="B4" s="28" t="s">
        <v>759</v>
      </c>
      <c r="C4" s="28" t="s">
        <v>760</v>
      </c>
      <c r="D4" s="28" t="s">
        <v>761</v>
      </c>
      <c r="E4" s="28" t="s">
        <v>762</v>
      </c>
      <c r="F4" s="28" t="s">
        <v>421</v>
      </c>
      <c r="G4" s="28" t="s">
        <v>641</v>
      </c>
      <c r="H4" s="28" t="s">
        <v>81</v>
      </c>
    </row>
    <row r="5" spans="1:8" x14ac:dyDescent="0.3">
      <c r="A5" s="32" t="s">
        <v>812</v>
      </c>
      <c r="B5" s="31">
        <f>'26_S3_Step4_Labour'!B7</f>
        <v>19288500</v>
      </c>
      <c r="C5" s="31">
        <f>'26_S3_Step4_Labour'!C7</f>
        <v>20123500</v>
      </c>
      <c r="D5" s="31">
        <f>'26_S3_Step4_Labour'!D7</f>
        <v>21125500</v>
      </c>
      <c r="E5" s="31">
        <f>'26_S3_Step4_Labour'!E7</f>
        <v>23020100</v>
      </c>
      <c r="F5" s="31">
        <f>SUM(B5:E5)</f>
        <v>83557600</v>
      </c>
      <c r="G5" s="32" t="s">
        <v>670</v>
      </c>
      <c r="H5" s="32" t="s">
        <v>822</v>
      </c>
    </row>
    <row r="6" spans="1:8" x14ac:dyDescent="0.3">
      <c r="A6" s="32" t="s">
        <v>823</v>
      </c>
      <c r="B6" s="30"/>
      <c r="C6" s="30"/>
      <c r="D6" s="30"/>
      <c r="E6" s="30"/>
      <c r="F6" s="30">
        <f>'22_S3_Assumptions'!D24*'24_S3_Step2_Production'!F9/1000000-'22_S3_Assumptions'!D38</f>
        <v>-201519988473.90121</v>
      </c>
      <c r="G6" s="32" t="s">
        <v>670</v>
      </c>
      <c r="H6" s="32" t="s">
        <v>824</v>
      </c>
    </row>
    <row r="7" spans="1:8" x14ac:dyDescent="0.3">
      <c r="A7" s="32" t="s">
        <v>825</v>
      </c>
      <c r="B7" s="30">
        <f>F6*1000000/$F$5</f>
        <v>-2411749361.804327</v>
      </c>
      <c r="C7" s="30">
        <f>F6*1000000/$F$5</f>
        <v>-2411749361.804327</v>
      </c>
      <c r="D7" s="30">
        <f>F6*1000000/$F$5</f>
        <v>-2411749361.804327</v>
      </c>
      <c r="E7" s="30">
        <f>F6*1000000/$F$5</f>
        <v>-2411749361.804327</v>
      </c>
      <c r="F7" s="30">
        <f>F6*1000000/$F$5</f>
        <v>-2411749361.804327</v>
      </c>
      <c r="G7" s="32" t="s">
        <v>670</v>
      </c>
      <c r="H7" s="32" t="s">
        <v>826</v>
      </c>
    </row>
    <row r="8" spans="1:8" x14ac:dyDescent="0.3">
      <c r="A8" s="32" t="s">
        <v>827</v>
      </c>
      <c r="B8" s="30">
        <f>B5*B7/1000000</f>
        <v>-46519027565.162758</v>
      </c>
      <c r="C8" s="30">
        <f>C5*C7/1000000</f>
        <v>-48532838282.269379</v>
      </c>
      <c r="D8" s="30">
        <f>D5*D7/1000000</f>
        <v>-50949411142.79731</v>
      </c>
      <c r="E8" s="30">
        <f>E5*E7/1000000</f>
        <v>-55518711483.671791</v>
      </c>
      <c r="F8" s="30">
        <f>SUM(B8:E8)</f>
        <v>-201519988473.90121</v>
      </c>
      <c r="G8" s="32" t="s">
        <v>670</v>
      </c>
      <c r="H8" s="32" t="s">
        <v>828</v>
      </c>
    </row>
    <row r="9" spans="1:8" x14ac:dyDescent="0.3">
      <c r="A9" s="33" t="s">
        <v>829</v>
      </c>
      <c r="B9" s="30">
        <f>'22_S3_Assumptions'!$D$38/4</f>
        <v>50380002290</v>
      </c>
      <c r="C9" s="30">
        <f>'22_S3_Assumptions'!$D$38/4</f>
        <v>50380002290</v>
      </c>
      <c r="D9" s="30">
        <f>'22_S3_Assumptions'!$D$38/4</f>
        <v>50380002290</v>
      </c>
      <c r="E9" s="30">
        <f>'22_S3_Assumptions'!$D$38/4</f>
        <v>50380002290</v>
      </c>
      <c r="F9" s="30">
        <f>SUM(B9:E9)</f>
        <v>201520009160</v>
      </c>
      <c r="G9" s="33" t="s">
        <v>657</v>
      </c>
      <c r="H9" s="33" t="s">
        <v>746</v>
      </c>
    </row>
    <row r="10" spans="1:8" x14ac:dyDescent="0.3">
      <c r="A10" s="32" t="s">
        <v>830</v>
      </c>
      <c r="B10" s="30">
        <f>B8+B9</f>
        <v>3860974724.8372421</v>
      </c>
      <c r="C10" s="30">
        <f>C8+C9</f>
        <v>1847164007.7306213</v>
      </c>
      <c r="D10" s="30">
        <f>D8+D9</f>
        <v>-569408852.79730988</v>
      </c>
      <c r="E10" s="30">
        <f>E8+E9</f>
        <v>-5138709193.6717911</v>
      </c>
      <c r="F10" s="30">
        <f>SUM(B10:E10)</f>
        <v>20686.098762512207</v>
      </c>
      <c r="G10" s="32" t="s">
        <v>670</v>
      </c>
      <c r="H10" s="32" t="s">
        <v>831</v>
      </c>
    </row>
    <row r="11" spans="1:8" x14ac:dyDescent="0.3">
      <c r="A11" s="32" t="s">
        <v>832</v>
      </c>
      <c r="B11" s="30">
        <f>'22_S3_Assumptions'!$D$24/'22_S3_Assumptions'!$D$34</f>
        <v>247.56693346831602</v>
      </c>
      <c r="C11" s="30">
        <f>'22_S3_Assumptions'!$D$24/'22_S3_Assumptions'!$D$34</f>
        <v>247.56693346831602</v>
      </c>
      <c r="D11" s="30">
        <f>'22_S3_Assumptions'!$D$24/'22_S3_Assumptions'!$D$34</f>
        <v>247.56693346831602</v>
      </c>
      <c r="E11" s="30">
        <f>'22_S3_Assumptions'!$D$24/'22_S3_Assumptions'!$D$34</f>
        <v>247.56693346831602</v>
      </c>
      <c r="F11" s="30">
        <f>'22_S3_Assumptions'!$D$24/'22_S3_Assumptions'!$D$34</f>
        <v>247.56693346831602</v>
      </c>
      <c r="G11" s="32" t="s">
        <v>670</v>
      </c>
      <c r="H11" s="32" t="s">
        <v>833</v>
      </c>
    </row>
    <row r="12" spans="1:8" x14ac:dyDescent="0.3">
      <c r="A12" s="32" t="s">
        <v>705</v>
      </c>
      <c r="B12" s="30">
        <f>'22_S3_Assumptions'!$D$24</f>
        <v>12378.346673415801</v>
      </c>
      <c r="C12" s="30">
        <f>'22_S3_Assumptions'!$D$24</f>
        <v>12378.346673415801</v>
      </c>
      <c r="D12" s="30">
        <f>'22_S3_Assumptions'!$D$24</f>
        <v>12378.346673415801</v>
      </c>
      <c r="E12" s="30">
        <f>'22_S3_Assumptions'!$D$24</f>
        <v>12378.346673415801</v>
      </c>
      <c r="F12" s="30">
        <f>'22_S3_Assumptions'!$D$24</f>
        <v>12378.346673415801</v>
      </c>
      <c r="G12" s="32" t="s">
        <v>670</v>
      </c>
      <c r="H12" s="32" t="s">
        <v>706</v>
      </c>
    </row>
    <row r="13" spans="1:8" x14ac:dyDescent="0.3">
      <c r="A13" s="29" t="s">
        <v>834</v>
      </c>
      <c r="B13" s="29" t="s">
        <v>835</v>
      </c>
      <c r="C13" s="29" t="s">
        <v>835</v>
      </c>
      <c r="D13" s="29" t="s">
        <v>835</v>
      </c>
      <c r="E13" s="29" t="s">
        <v>835</v>
      </c>
      <c r="F13" s="29" t="s">
        <v>836</v>
      </c>
      <c r="G13" s="29" t="s">
        <v>646</v>
      </c>
      <c r="H13" s="29" t="s">
        <v>837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6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2" width="43" customWidth="1"/>
    <col min="3" max="3" width="30" customWidth="1"/>
    <col min="4" max="4" width="32" customWidth="1"/>
    <col min="5" max="5" width="30" customWidth="1"/>
    <col min="6" max="6" width="15" customWidth="1"/>
    <col min="7" max="7" width="12" customWidth="1"/>
    <col min="8" max="8" width="24" customWidth="1"/>
  </cols>
  <sheetData>
    <row r="1" spans="1:8" ht="34.049999999999997" customHeight="1" x14ac:dyDescent="0.3">
      <c r="A1" s="50" t="s">
        <v>838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839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448</v>
      </c>
      <c r="B4" s="28" t="s">
        <v>260</v>
      </c>
      <c r="C4" s="28" t="s">
        <v>641</v>
      </c>
      <c r="D4" s="28" t="s">
        <v>199</v>
      </c>
      <c r="E4" s="25"/>
      <c r="F4" s="25"/>
      <c r="G4" s="25"/>
      <c r="H4" s="25"/>
    </row>
    <row r="5" spans="1:8" x14ac:dyDescent="0.3">
      <c r="A5" s="32" t="s">
        <v>840</v>
      </c>
      <c r="B5" s="30">
        <f>'22_S3_Assumptions'!D22</f>
        <v>24756.693346831602</v>
      </c>
      <c r="C5" s="32" t="s">
        <v>670</v>
      </c>
      <c r="D5" s="32" t="s">
        <v>841</v>
      </c>
      <c r="E5" s="32"/>
      <c r="F5" s="32"/>
      <c r="G5" s="32"/>
      <c r="H5" s="32"/>
    </row>
    <row r="6" spans="1:8" x14ac:dyDescent="0.3">
      <c r="A6" s="32" t="s">
        <v>702</v>
      </c>
      <c r="B6" s="30">
        <f>'22_S3_Assumptions'!D23</f>
        <v>4126.1155578052667</v>
      </c>
      <c r="C6" s="32" t="s">
        <v>670</v>
      </c>
      <c r="D6" s="32" t="s">
        <v>842</v>
      </c>
      <c r="E6" s="32"/>
      <c r="F6" s="32"/>
      <c r="G6" s="32"/>
      <c r="H6" s="32"/>
    </row>
    <row r="7" spans="1:8" x14ac:dyDescent="0.3">
      <c r="A7" s="32" t="s">
        <v>705</v>
      </c>
      <c r="B7" s="30">
        <f>'22_S3_Assumptions'!D24</f>
        <v>12378.346673415801</v>
      </c>
      <c r="C7" s="32" t="s">
        <v>670</v>
      </c>
      <c r="D7" s="32" t="s">
        <v>132</v>
      </c>
      <c r="E7" s="32"/>
      <c r="F7" s="32"/>
      <c r="G7" s="32"/>
      <c r="H7" s="32"/>
    </row>
    <row r="8" spans="1:8" x14ac:dyDescent="0.3">
      <c r="A8" s="32" t="s">
        <v>843</v>
      </c>
      <c r="B8" s="30">
        <f>SUM(B5:B7)</f>
        <v>41261.155578052669</v>
      </c>
      <c r="C8" s="32" t="s">
        <v>670</v>
      </c>
      <c r="D8" s="32" t="s">
        <v>844</v>
      </c>
      <c r="E8" s="32"/>
      <c r="F8" s="32"/>
      <c r="G8" s="32"/>
      <c r="H8" s="32"/>
    </row>
    <row r="9" spans="1:8" x14ac:dyDescent="0.3">
      <c r="A9" s="25"/>
      <c r="B9" s="25"/>
      <c r="C9" s="25"/>
      <c r="D9" s="25"/>
      <c r="E9" s="25"/>
      <c r="F9" s="25"/>
      <c r="G9" s="25"/>
      <c r="H9" s="25"/>
    </row>
    <row r="10" spans="1:8" x14ac:dyDescent="0.3">
      <c r="A10" s="25"/>
      <c r="B10" s="25"/>
      <c r="C10" s="25"/>
      <c r="D10" s="25"/>
      <c r="E10" s="25"/>
      <c r="F10" s="25"/>
      <c r="G10" s="25"/>
      <c r="H10" s="25"/>
    </row>
    <row r="11" spans="1:8" x14ac:dyDescent="0.3">
      <c r="A11" s="28" t="s">
        <v>426</v>
      </c>
      <c r="B11" s="28" t="s">
        <v>759</v>
      </c>
      <c r="C11" s="28" t="s">
        <v>760</v>
      </c>
      <c r="D11" s="28" t="s">
        <v>761</v>
      </c>
      <c r="E11" s="28" t="s">
        <v>762</v>
      </c>
      <c r="F11" s="28" t="s">
        <v>421</v>
      </c>
      <c r="G11" s="28" t="s">
        <v>641</v>
      </c>
      <c r="H11" s="28" t="s">
        <v>81</v>
      </c>
    </row>
    <row r="12" spans="1:8" x14ac:dyDescent="0.3">
      <c r="A12" s="32" t="s">
        <v>845</v>
      </c>
      <c r="B12" s="31">
        <f>'23_S3_Step1_Sales'!B6</f>
        <v>384100</v>
      </c>
      <c r="C12" s="31">
        <f>'23_S3_Step1_Sales'!C6</f>
        <v>400800</v>
      </c>
      <c r="D12" s="31">
        <f>'23_S3_Step1_Sales'!D6</f>
        <v>417500</v>
      </c>
      <c r="E12" s="31">
        <f>'23_S3_Step1_Sales'!E6</f>
        <v>467600</v>
      </c>
      <c r="F12" s="31">
        <f>SUM(B12:E12)</f>
        <v>1670000</v>
      </c>
      <c r="G12" s="32" t="s">
        <v>670</v>
      </c>
      <c r="H12" s="32" t="s">
        <v>846</v>
      </c>
    </row>
    <row r="13" spans="1:8" x14ac:dyDescent="0.3">
      <c r="A13" s="32" t="s">
        <v>847</v>
      </c>
      <c r="B13" s="30">
        <f>$B$8</f>
        <v>41261.155578052669</v>
      </c>
      <c r="C13" s="30">
        <f>$B$8</f>
        <v>41261.155578052669</v>
      </c>
      <c r="D13" s="30">
        <f>$B$8</f>
        <v>41261.155578052669</v>
      </c>
      <c r="E13" s="30">
        <f>$B$8</f>
        <v>41261.155578052669</v>
      </c>
      <c r="F13" s="30">
        <f>$B$8</f>
        <v>41261.155578052669</v>
      </c>
      <c r="G13" s="32" t="s">
        <v>670</v>
      </c>
      <c r="H13" s="32" t="s">
        <v>848</v>
      </c>
    </row>
    <row r="14" spans="1:8" x14ac:dyDescent="0.3">
      <c r="A14" s="32" t="s">
        <v>849</v>
      </c>
      <c r="B14" s="30">
        <f>B12*B13/1000000</f>
        <v>15848.409857530029</v>
      </c>
      <c r="C14" s="30">
        <f>C12*C13/1000000</f>
        <v>16537.47115568351</v>
      </c>
      <c r="D14" s="30">
        <f>D12*D13/1000000</f>
        <v>17226.53245383699</v>
      </c>
      <c r="E14" s="30">
        <f>E12*E13/1000000</f>
        <v>19293.716348297428</v>
      </c>
      <c r="F14" s="30">
        <f>SUM(B14:E14)</f>
        <v>68906.129815347958</v>
      </c>
      <c r="G14" s="32" t="s">
        <v>670</v>
      </c>
      <c r="H14" s="32" t="s">
        <v>850</v>
      </c>
    </row>
    <row r="15" spans="1:8" x14ac:dyDescent="0.3">
      <c r="A15" s="32" t="s">
        <v>851</v>
      </c>
      <c r="B15" s="31">
        <f>'24_S3_Step2_Production'!B7</f>
        <v>40080</v>
      </c>
      <c r="C15" s="31">
        <f>'24_S3_Step2_Production'!C7</f>
        <v>41750</v>
      </c>
      <c r="D15" s="31">
        <f>'24_S3_Step2_Production'!D7</f>
        <v>46760</v>
      </c>
      <c r="E15" s="31">
        <f>'24_S3_Step2_Production'!E7</f>
        <v>39562</v>
      </c>
      <c r="F15" s="31">
        <f>E15</f>
        <v>39562</v>
      </c>
      <c r="G15" s="32" t="s">
        <v>670</v>
      </c>
      <c r="H15" s="32" t="s">
        <v>792</v>
      </c>
    </row>
    <row r="16" spans="1:8" x14ac:dyDescent="0.3">
      <c r="A16" s="32" t="s">
        <v>852</v>
      </c>
      <c r="B16" s="30">
        <f>B15*B13/1000000</f>
        <v>1653.7471155683511</v>
      </c>
      <c r="C16" s="30">
        <f>C15*C13/1000000</f>
        <v>1722.653245383699</v>
      </c>
      <c r="D16" s="30">
        <f>D15*D13/1000000</f>
        <v>1929.3716348297426</v>
      </c>
      <c r="E16" s="30">
        <f>E15*E13/1000000</f>
        <v>1632.3738369789198</v>
      </c>
      <c r="F16" s="30">
        <f>E16</f>
        <v>1632.3738369789198</v>
      </c>
      <c r="G16" s="32" t="s">
        <v>670</v>
      </c>
      <c r="H16" s="32" t="s">
        <v>853</v>
      </c>
    </row>
    <row r="17" spans="1:8" x14ac:dyDescent="0.3">
      <c r="A17" s="25"/>
      <c r="B17" s="25"/>
      <c r="C17" s="25"/>
      <c r="D17" s="25"/>
      <c r="E17" s="25"/>
      <c r="F17" s="25"/>
      <c r="G17" s="25"/>
      <c r="H17" s="25"/>
    </row>
    <row r="18" spans="1:8" x14ac:dyDescent="0.3">
      <c r="A18" s="25"/>
      <c r="B18" s="25"/>
      <c r="C18" s="25"/>
      <c r="D18" s="25"/>
      <c r="E18" s="25"/>
      <c r="F18" s="25"/>
      <c r="G18" s="25"/>
      <c r="H18" s="25"/>
    </row>
    <row r="19" spans="1:8" x14ac:dyDescent="0.3">
      <c r="A19" s="25"/>
      <c r="B19" s="25"/>
      <c r="C19" s="25"/>
      <c r="D19" s="25"/>
      <c r="E19" s="25"/>
      <c r="F19" s="25"/>
      <c r="G19" s="25"/>
      <c r="H19" s="25"/>
    </row>
    <row r="20" spans="1:8" x14ac:dyDescent="0.3">
      <c r="A20" s="28" t="s">
        <v>854</v>
      </c>
      <c r="B20" s="28" t="s">
        <v>260</v>
      </c>
      <c r="C20" s="28" t="s">
        <v>641</v>
      </c>
      <c r="D20" s="28" t="s">
        <v>127</v>
      </c>
      <c r="E20" s="25"/>
      <c r="F20" s="25"/>
      <c r="G20" s="25"/>
      <c r="H20" s="25"/>
    </row>
    <row r="21" spans="1:8" x14ac:dyDescent="0.3">
      <c r="A21" s="32" t="s">
        <v>855</v>
      </c>
      <c r="B21" s="30">
        <f>'24_S3_Step2_Production'!B6*$B$8/1000000</f>
        <v>1584.8409857530032</v>
      </c>
      <c r="C21" s="32" t="s">
        <v>670</v>
      </c>
      <c r="D21" s="32" t="s">
        <v>856</v>
      </c>
      <c r="E21" s="32"/>
      <c r="F21" s="32"/>
      <c r="G21" s="32"/>
      <c r="H21" s="32"/>
    </row>
    <row r="22" spans="1:8" x14ac:dyDescent="0.3">
      <c r="A22" s="32" t="s">
        <v>857</v>
      </c>
      <c r="B22" s="30">
        <f>'24_S3_Step2_Production'!F9*$B$8/1000000</f>
        <v>68953.662666573873</v>
      </c>
      <c r="C22" s="32" t="s">
        <v>670</v>
      </c>
      <c r="D22" s="32" t="s">
        <v>858</v>
      </c>
      <c r="E22" s="32"/>
      <c r="F22" s="32"/>
      <c r="G22" s="32"/>
      <c r="H22" s="32"/>
    </row>
    <row r="23" spans="1:8" x14ac:dyDescent="0.3">
      <c r="A23" s="32" t="s">
        <v>859</v>
      </c>
      <c r="B23" s="30">
        <f>F16</f>
        <v>1632.3738369789198</v>
      </c>
      <c r="C23" s="32" t="s">
        <v>670</v>
      </c>
      <c r="D23" s="32" t="s">
        <v>853</v>
      </c>
      <c r="E23" s="32"/>
      <c r="F23" s="32"/>
      <c r="G23" s="32"/>
      <c r="H23" s="32"/>
    </row>
    <row r="24" spans="1:8" x14ac:dyDescent="0.3">
      <c r="A24" s="32" t="s">
        <v>346</v>
      </c>
      <c r="B24" s="30">
        <f>B21+B22-B23</f>
        <v>68906.129815347958</v>
      </c>
      <c r="C24" s="32" t="s">
        <v>670</v>
      </c>
      <c r="D24" s="32" t="s">
        <v>860</v>
      </c>
      <c r="E24" s="32"/>
      <c r="F24" s="32"/>
      <c r="G24" s="32"/>
      <c r="H24" s="32"/>
    </row>
    <row r="25" spans="1:8" x14ac:dyDescent="0.3">
      <c r="A25" s="32" t="s">
        <v>470</v>
      </c>
      <c r="B25" s="30">
        <f>F14</f>
        <v>68906.129815347958</v>
      </c>
      <c r="C25" s="32" t="s">
        <v>670</v>
      </c>
      <c r="D25" s="32" t="s">
        <v>861</v>
      </c>
      <c r="E25" s="32"/>
      <c r="F25" s="32"/>
      <c r="G25" s="32"/>
      <c r="H25" s="32"/>
    </row>
    <row r="26" spans="1:8" x14ac:dyDescent="0.3">
      <c r="A26" s="32" t="s">
        <v>350</v>
      </c>
      <c r="B26" s="30">
        <f>B24-B25</f>
        <v>0</v>
      </c>
      <c r="C26" s="32" t="s">
        <v>670</v>
      </c>
      <c r="D26" s="32" t="s">
        <v>772</v>
      </c>
      <c r="E26" s="32"/>
      <c r="F26" s="32"/>
      <c r="G26" s="32"/>
      <c r="H26" s="32"/>
    </row>
  </sheetData>
  <mergeCells count="2"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B400"/>
    <pageSetUpPr fitToPage="1"/>
  </sheetPr>
  <dimension ref="A1:K26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57" customWidth="1"/>
    <col min="3" max="3" width="41" customWidth="1"/>
    <col min="4" max="4" width="58" customWidth="1"/>
    <col min="5" max="5" width="24" customWidth="1"/>
    <col min="6" max="6" width="43" customWidth="1"/>
    <col min="7" max="8" width="10" customWidth="1"/>
    <col min="9" max="9" width="11" customWidth="1"/>
    <col min="10" max="10" width="45" customWidth="1"/>
    <col min="11" max="11" width="58" customWidth="1"/>
  </cols>
  <sheetData>
    <row r="1" spans="1:11" ht="28.05" customHeight="1" x14ac:dyDescent="0.3">
      <c r="A1" s="43" t="s">
        <v>69</v>
      </c>
      <c r="B1" s="44"/>
      <c r="C1" s="44"/>
      <c r="D1" s="44"/>
      <c r="E1" s="44"/>
      <c r="F1" s="44"/>
      <c r="G1" s="44"/>
      <c r="H1" s="44"/>
      <c r="I1" s="1"/>
      <c r="J1" s="1"/>
      <c r="K1" s="1"/>
    </row>
    <row r="2" spans="1:11" ht="24" customHeight="1" x14ac:dyDescent="0.3">
      <c r="A2" s="45" t="s">
        <v>70</v>
      </c>
      <c r="B2" s="44"/>
      <c r="C2" s="44"/>
      <c r="D2" s="44"/>
      <c r="E2" s="44"/>
      <c r="F2" s="44"/>
      <c r="G2" s="44"/>
      <c r="H2" s="44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2" t="s">
        <v>71</v>
      </c>
      <c r="B4" s="2" t="s">
        <v>72</v>
      </c>
      <c r="C4" s="2" t="s">
        <v>73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</row>
    <row r="5" spans="1:11" x14ac:dyDescent="0.3">
      <c r="A5" s="7" t="s">
        <v>82</v>
      </c>
      <c r="B5" s="3" t="s">
        <v>83</v>
      </c>
      <c r="C5" s="3" t="s">
        <v>84</v>
      </c>
      <c r="D5" s="3" t="s">
        <v>85</v>
      </c>
      <c r="E5" s="3" t="s">
        <v>86</v>
      </c>
      <c r="F5" s="10">
        <v>0.6</v>
      </c>
      <c r="G5" s="11"/>
      <c r="H5" s="11"/>
      <c r="I5" s="11"/>
      <c r="J5" s="11" t="s">
        <v>87</v>
      </c>
      <c r="K5" s="3" t="s">
        <v>88</v>
      </c>
    </row>
    <row r="6" spans="1:11" x14ac:dyDescent="0.3">
      <c r="A6" s="12" t="s">
        <v>89</v>
      </c>
      <c r="B6" s="4" t="s">
        <v>90</v>
      </c>
      <c r="C6" s="4" t="s">
        <v>84</v>
      </c>
      <c r="D6" s="4" t="s">
        <v>91</v>
      </c>
      <c r="E6" s="4" t="s">
        <v>86</v>
      </c>
      <c r="F6" s="10">
        <v>0.1</v>
      </c>
      <c r="G6" s="11"/>
      <c r="H6" s="11"/>
      <c r="I6" s="11"/>
      <c r="J6" s="11" t="s">
        <v>92</v>
      </c>
      <c r="K6" s="4" t="s">
        <v>93</v>
      </c>
    </row>
    <row r="7" spans="1:11" x14ac:dyDescent="0.3">
      <c r="A7" s="7" t="s">
        <v>94</v>
      </c>
      <c r="B7" s="3" t="s">
        <v>95</v>
      </c>
      <c r="C7" s="3" t="s">
        <v>84</v>
      </c>
      <c r="D7" s="3" t="s">
        <v>96</v>
      </c>
      <c r="E7" s="3" t="s">
        <v>86</v>
      </c>
      <c r="F7" s="10">
        <v>0.3</v>
      </c>
      <c r="G7" s="11"/>
      <c r="H7" s="11"/>
      <c r="I7" s="11"/>
      <c r="J7" s="11" t="s">
        <v>97</v>
      </c>
      <c r="K7" s="3" t="s">
        <v>98</v>
      </c>
    </row>
    <row r="8" spans="1:11" x14ac:dyDescent="0.3">
      <c r="A8" s="12" t="s">
        <v>99</v>
      </c>
      <c r="B8" s="4" t="s">
        <v>100</v>
      </c>
      <c r="C8" s="4" t="s">
        <v>84</v>
      </c>
      <c r="D8" s="4" t="s">
        <v>101</v>
      </c>
      <c r="E8" s="4" t="s">
        <v>102</v>
      </c>
      <c r="F8" s="13">
        <v>59604</v>
      </c>
      <c r="G8" s="11"/>
      <c r="H8" s="11"/>
      <c r="I8" s="11"/>
      <c r="J8" s="11" t="s">
        <v>103</v>
      </c>
      <c r="K8" s="4" t="s">
        <v>104</v>
      </c>
    </row>
    <row r="9" spans="1:11" x14ac:dyDescent="0.3">
      <c r="A9" s="7" t="s">
        <v>105</v>
      </c>
      <c r="B9" s="3" t="s">
        <v>106</v>
      </c>
      <c r="C9" s="3" t="s">
        <v>84</v>
      </c>
      <c r="D9" s="3" t="s">
        <v>101</v>
      </c>
      <c r="E9" s="3" t="s">
        <v>107</v>
      </c>
      <c r="F9" s="13">
        <v>7244</v>
      </c>
      <c r="G9" s="11"/>
      <c r="H9" s="11"/>
      <c r="I9" s="11"/>
      <c r="J9" s="11" t="s">
        <v>108</v>
      </c>
      <c r="K9" s="3" t="s">
        <v>109</v>
      </c>
    </row>
    <row r="10" spans="1:11" x14ac:dyDescent="0.3">
      <c r="A10" s="12" t="s">
        <v>110</v>
      </c>
      <c r="B10" s="4" t="s">
        <v>111</v>
      </c>
      <c r="C10" s="4" t="s">
        <v>112</v>
      </c>
      <c r="D10" s="4" t="s">
        <v>113</v>
      </c>
      <c r="E10" s="4" t="s">
        <v>114</v>
      </c>
      <c r="F10" s="11">
        <v>1</v>
      </c>
      <c r="G10" s="11"/>
      <c r="H10" s="11"/>
      <c r="I10" s="11"/>
      <c r="J10" s="11" t="s">
        <v>115</v>
      </c>
      <c r="K10" s="4" t="s">
        <v>116</v>
      </c>
    </row>
    <row r="11" spans="1:11" x14ac:dyDescent="0.3">
      <c r="A11" s="7" t="s">
        <v>117</v>
      </c>
      <c r="B11" s="3" t="s">
        <v>118</v>
      </c>
      <c r="C11" s="3" t="s">
        <v>119</v>
      </c>
      <c r="D11" s="3" t="s">
        <v>120</v>
      </c>
      <c r="E11" s="3" t="s">
        <v>121</v>
      </c>
      <c r="F11" s="11">
        <v>0</v>
      </c>
      <c r="G11" s="11"/>
      <c r="H11" s="11"/>
      <c r="I11" s="11"/>
      <c r="J11" s="11" t="s">
        <v>119</v>
      </c>
      <c r="K11" s="3" t="s">
        <v>122</v>
      </c>
    </row>
    <row r="12" spans="1:11" x14ac:dyDescent="0.3">
      <c r="A12" s="12" t="s">
        <v>123</v>
      </c>
      <c r="B12" s="4" t="s">
        <v>124</v>
      </c>
      <c r="C12" s="4" t="s">
        <v>119</v>
      </c>
      <c r="D12" s="4" t="s">
        <v>125</v>
      </c>
      <c r="E12" s="4" t="s">
        <v>126</v>
      </c>
      <c r="F12" s="11">
        <v>0</v>
      </c>
      <c r="G12" s="11"/>
      <c r="H12" s="11"/>
      <c r="I12" s="11"/>
      <c r="J12" s="11" t="s">
        <v>127</v>
      </c>
      <c r="K12" s="4" t="s">
        <v>128</v>
      </c>
    </row>
    <row r="13" spans="1:11" x14ac:dyDescent="0.3">
      <c r="A13" s="7" t="s">
        <v>129</v>
      </c>
      <c r="B13" s="3" t="s">
        <v>130</v>
      </c>
      <c r="C13" s="3" t="s">
        <v>112</v>
      </c>
      <c r="D13" s="3" t="s">
        <v>131</v>
      </c>
      <c r="E13" s="3" t="s">
        <v>132</v>
      </c>
      <c r="F13" s="11">
        <v>0</v>
      </c>
      <c r="G13" s="11"/>
      <c r="H13" s="11"/>
      <c r="I13" s="11"/>
      <c r="J13" s="11" t="s">
        <v>112</v>
      </c>
      <c r="K13" s="3" t="s">
        <v>133</v>
      </c>
    </row>
    <row r="14" spans="1:11" ht="28.8" x14ac:dyDescent="0.3">
      <c r="A14" s="12" t="s">
        <v>134</v>
      </c>
      <c r="B14" s="4" t="s">
        <v>135</v>
      </c>
      <c r="C14" s="4" t="s">
        <v>136</v>
      </c>
      <c r="D14" s="4" t="s">
        <v>137</v>
      </c>
      <c r="E14" s="4" t="s">
        <v>138</v>
      </c>
      <c r="F14" s="14">
        <f>'01_Source_Data'!E30</f>
        <v>18538</v>
      </c>
      <c r="G14" s="11">
        <v>0</v>
      </c>
      <c r="H14" s="11">
        <v>30000</v>
      </c>
      <c r="I14" s="11"/>
      <c r="J14" s="14" t="str">
        <f>TEXT(F14,"#,##0")&amp;" vehicles"</f>
        <v>18,538 vehicles</v>
      </c>
      <c r="K14" s="4" t="s">
        <v>139</v>
      </c>
    </row>
    <row r="15" spans="1:11" x14ac:dyDescent="0.3">
      <c r="A15" s="7" t="s">
        <v>140</v>
      </c>
      <c r="B15" s="3" t="s">
        <v>141</v>
      </c>
      <c r="C15" s="3" t="s">
        <v>112</v>
      </c>
      <c r="D15" s="3" t="s">
        <v>142</v>
      </c>
      <c r="E15" s="3" t="s">
        <v>143</v>
      </c>
      <c r="F15" s="11">
        <v>0</v>
      </c>
      <c r="G15" s="11"/>
      <c r="H15" s="11"/>
      <c r="I15" s="11"/>
      <c r="J15" s="11" t="s">
        <v>112</v>
      </c>
      <c r="K15" s="3" t="s">
        <v>144</v>
      </c>
    </row>
    <row r="16" spans="1:11" x14ac:dyDescent="0.3">
      <c r="A16" s="12" t="s">
        <v>145</v>
      </c>
      <c r="B16" s="4" t="s">
        <v>146</v>
      </c>
      <c r="C16" s="4" t="s">
        <v>147</v>
      </c>
      <c r="D16" s="4" t="s">
        <v>148</v>
      </c>
      <c r="E16" s="4" t="s">
        <v>149</v>
      </c>
      <c r="F16" s="15">
        <f>'06_S1_Step4_HighLow'!F18</f>
        <v>10885</v>
      </c>
      <c r="G16" s="13">
        <v>11500</v>
      </c>
      <c r="H16" s="13">
        <v>10200</v>
      </c>
      <c r="I16" s="11"/>
      <c r="J16" s="14" t="e">
        <f>TEXT(F16,"$#,##0M")</f>
        <v>#VALUE!</v>
      </c>
      <c r="K16" s="4" t="s">
        <v>150</v>
      </c>
    </row>
    <row r="17" spans="1:11" ht="28.8" x14ac:dyDescent="0.3">
      <c r="A17" s="7" t="s">
        <v>151</v>
      </c>
      <c r="B17" s="3" t="s">
        <v>152</v>
      </c>
      <c r="C17" s="3" t="s">
        <v>153</v>
      </c>
      <c r="D17" s="3" t="s">
        <v>154</v>
      </c>
      <c r="E17" s="3" t="s">
        <v>155</v>
      </c>
      <c r="F17" s="16">
        <f>'01_Source_Data'!H21/'01_Source_Data'!E5</f>
        <v>0.13467683254769211</v>
      </c>
      <c r="G17" s="10">
        <v>0.12</v>
      </c>
      <c r="H17" s="10">
        <v>0.16</v>
      </c>
      <c r="I17" s="11"/>
      <c r="J17" s="14" t="str">
        <f>TEXT(F17,"0.0%")&amp;" FY2025"</f>
        <v>13.5% FY2025</v>
      </c>
      <c r="K17" s="3" t="s">
        <v>156</v>
      </c>
    </row>
    <row r="18" spans="1:11" x14ac:dyDescent="0.3">
      <c r="A18" s="12" t="s">
        <v>157</v>
      </c>
      <c r="B18" s="4" t="s">
        <v>158</v>
      </c>
      <c r="C18" s="4" t="s">
        <v>159</v>
      </c>
      <c r="D18" s="4" t="s">
        <v>160</v>
      </c>
      <c r="E18" s="4" t="s">
        <v>161</v>
      </c>
      <c r="F18" s="13">
        <v>95023</v>
      </c>
      <c r="G18" s="13">
        <v>87487</v>
      </c>
      <c r="H18" s="13">
        <v>103485</v>
      </c>
      <c r="I18" s="11"/>
      <c r="J18" s="11" t="s">
        <v>162</v>
      </c>
      <c r="K18" s="4" t="s">
        <v>163</v>
      </c>
    </row>
    <row r="19" spans="1:11" x14ac:dyDescent="0.3">
      <c r="A19" s="7" t="s">
        <v>164</v>
      </c>
      <c r="B19" s="3" t="s">
        <v>165</v>
      </c>
      <c r="C19" s="3" t="s">
        <v>159</v>
      </c>
      <c r="D19" s="3" t="s">
        <v>166</v>
      </c>
      <c r="E19" s="3" t="s">
        <v>167</v>
      </c>
      <c r="F19" s="10">
        <v>0.18</v>
      </c>
      <c r="G19" s="10">
        <v>0.16</v>
      </c>
      <c r="H19" s="10">
        <v>0.19</v>
      </c>
      <c r="I19" s="11"/>
      <c r="J19" s="11" t="s">
        <v>168</v>
      </c>
      <c r="K19" s="3" t="s">
        <v>169</v>
      </c>
    </row>
    <row r="20" spans="1:11" x14ac:dyDescent="0.3">
      <c r="A20" s="12" t="s">
        <v>170</v>
      </c>
      <c r="B20" s="4" t="s">
        <v>171</v>
      </c>
      <c r="C20" s="4" t="s">
        <v>159</v>
      </c>
      <c r="D20" s="4" t="s">
        <v>172</v>
      </c>
      <c r="E20" s="4" t="s">
        <v>167</v>
      </c>
      <c r="F20" s="10">
        <v>0.2</v>
      </c>
      <c r="G20" s="10">
        <v>0.1</v>
      </c>
      <c r="H20" s="10">
        <v>0.25</v>
      </c>
      <c r="I20" s="11"/>
      <c r="J20" s="11" t="s">
        <v>173</v>
      </c>
      <c r="K20" s="4" t="s">
        <v>174</v>
      </c>
    </row>
    <row r="21" spans="1:11" x14ac:dyDescent="0.3">
      <c r="A21" s="7" t="s">
        <v>175</v>
      </c>
      <c r="B21" s="3" t="s">
        <v>176</v>
      </c>
      <c r="C21" s="3" t="s">
        <v>159</v>
      </c>
      <c r="D21" s="3" t="s">
        <v>177</v>
      </c>
      <c r="E21" s="3" t="s">
        <v>167</v>
      </c>
      <c r="F21" s="10">
        <v>0.05</v>
      </c>
      <c r="G21" s="10">
        <v>0.02</v>
      </c>
      <c r="H21" s="10">
        <v>0.08</v>
      </c>
      <c r="I21" s="11"/>
      <c r="J21" s="11" t="s">
        <v>178</v>
      </c>
      <c r="K21" s="3" t="s">
        <v>179</v>
      </c>
    </row>
    <row r="22" spans="1:11" x14ac:dyDescent="0.3">
      <c r="A22" s="12" t="s">
        <v>180</v>
      </c>
      <c r="B22" s="4" t="s">
        <v>181</v>
      </c>
      <c r="C22" s="4" t="s">
        <v>159</v>
      </c>
      <c r="D22" s="4" t="s">
        <v>182</v>
      </c>
      <c r="E22" s="4" t="s">
        <v>167</v>
      </c>
      <c r="F22" s="13">
        <v>247</v>
      </c>
      <c r="G22" s="13">
        <v>494</v>
      </c>
      <c r="H22" s="13">
        <v>100</v>
      </c>
      <c r="I22" s="11"/>
      <c r="J22" s="11" t="s">
        <v>183</v>
      </c>
      <c r="K22" s="4" t="s">
        <v>184</v>
      </c>
    </row>
    <row r="23" spans="1:11" x14ac:dyDescent="0.3">
      <c r="A23" s="7" t="s">
        <v>185</v>
      </c>
      <c r="B23" s="3" t="s">
        <v>186</v>
      </c>
      <c r="C23" s="3" t="s">
        <v>159</v>
      </c>
      <c r="D23" s="3" t="s">
        <v>187</v>
      </c>
      <c r="E23" s="3" t="s">
        <v>188</v>
      </c>
      <c r="F23" s="13">
        <v>99774</v>
      </c>
      <c r="G23" s="13">
        <v>91861</v>
      </c>
      <c r="H23" s="13">
        <v>108660</v>
      </c>
      <c r="I23" s="11"/>
      <c r="J23" s="11" t="s">
        <v>189</v>
      </c>
      <c r="K23" s="3" t="s">
        <v>190</v>
      </c>
    </row>
    <row r="24" spans="1:11" x14ac:dyDescent="0.3">
      <c r="A24" s="12" t="s">
        <v>191</v>
      </c>
      <c r="B24" s="4" t="s">
        <v>192</v>
      </c>
      <c r="C24" s="4" t="s">
        <v>159</v>
      </c>
      <c r="D24" s="4" t="s">
        <v>193</v>
      </c>
      <c r="E24" s="4" t="s">
        <v>188</v>
      </c>
      <c r="F24" s="10">
        <v>5.8000000000000003E-2</v>
      </c>
      <c r="G24" s="10">
        <v>7.0000000000000007E-2</v>
      </c>
      <c r="H24" s="10">
        <v>0.02</v>
      </c>
      <c r="I24" s="10">
        <v>4.2000000000000003E-2</v>
      </c>
      <c r="J24" s="11" t="s">
        <v>194</v>
      </c>
      <c r="K24" s="4" t="s">
        <v>195</v>
      </c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46" t="s">
        <v>196</v>
      </c>
      <c r="B26" s="47"/>
      <c r="C26" s="47"/>
      <c r="D26" s="47"/>
      <c r="E26" s="47"/>
      <c r="F26" s="47"/>
      <c r="G26" s="47"/>
      <c r="H26" s="47"/>
      <c r="I26" s="47"/>
      <c r="J26" s="47"/>
      <c r="K26" s="48"/>
    </row>
  </sheetData>
  <mergeCells count="3">
    <mergeCell ref="A26:K26"/>
    <mergeCell ref="A2:H2"/>
    <mergeCell ref="A1:H1"/>
  </mergeCells>
  <pageMargins left="0.75" right="0.75" top="1" bottom="1" header="0.5" footer="0.5"/>
  <pageSetup fitToHeight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9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6" width="44" customWidth="1"/>
    <col min="7" max="7" width="12" customWidth="1"/>
    <col min="8" max="8" width="39" customWidth="1"/>
  </cols>
  <sheetData>
    <row r="1" spans="1:8" ht="34.049999999999997" customHeight="1" x14ac:dyDescent="0.3">
      <c r="A1" s="50" t="s">
        <v>862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863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864</v>
      </c>
      <c r="B4" s="28" t="s">
        <v>759</v>
      </c>
      <c r="C4" s="28" t="s">
        <v>760</v>
      </c>
      <c r="D4" s="28" t="s">
        <v>761</v>
      </c>
      <c r="E4" s="28" t="s">
        <v>762</v>
      </c>
      <c r="F4" s="28" t="s">
        <v>421</v>
      </c>
      <c r="G4" s="28" t="s">
        <v>641</v>
      </c>
      <c r="H4" s="28" t="s">
        <v>81</v>
      </c>
    </row>
    <row r="5" spans="1:8" x14ac:dyDescent="0.3">
      <c r="A5" s="32" t="s">
        <v>845</v>
      </c>
      <c r="B5" s="31">
        <f>'23_S3_Step1_Sales'!B6</f>
        <v>384100</v>
      </c>
      <c r="C5" s="31">
        <f>'23_S3_Step1_Sales'!C6</f>
        <v>400800</v>
      </c>
      <c r="D5" s="31">
        <f>'23_S3_Step1_Sales'!D6</f>
        <v>417500</v>
      </c>
      <c r="E5" s="31">
        <f>'23_S3_Step1_Sales'!E6</f>
        <v>467600</v>
      </c>
      <c r="F5" s="31">
        <f>SUM(B5:E5)</f>
        <v>1670000</v>
      </c>
      <c r="G5" s="32" t="s">
        <v>670</v>
      </c>
      <c r="H5" s="32" t="s">
        <v>846</v>
      </c>
    </row>
    <row r="6" spans="1:8" x14ac:dyDescent="0.3">
      <c r="A6" s="32" t="s">
        <v>865</v>
      </c>
      <c r="B6" s="30"/>
      <c r="C6" s="30"/>
      <c r="D6" s="30"/>
      <c r="E6" s="30"/>
      <c r="F6" s="30">
        <f>'01_Source_Data'!E12*(1+'22_S3_Assumptions'!D39)*'22_S3_Assumptions'!D12</f>
        <v>5300.710126862602</v>
      </c>
      <c r="G6" s="32" t="s">
        <v>670</v>
      </c>
      <c r="H6" s="32" t="s">
        <v>866</v>
      </c>
    </row>
    <row r="7" spans="1:8" x14ac:dyDescent="0.3">
      <c r="A7" s="32" t="s">
        <v>867</v>
      </c>
      <c r="B7" s="30">
        <f>$F$6*'22_S3_Assumptions'!$D$40*1000000/$F$5</f>
        <v>476.11168804155102</v>
      </c>
      <c r="C7" s="30">
        <f>$F$6*'22_S3_Assumptions'!$D$40*1000000/$F$5</f>
        <v>476.11168804155102</v>
      </c>
      <c r="D7" s="30">
        <f>$F$6*'22_S3_Assumptions'!$D$40*1000000/$F$5</f>
        <v>476.11168804155102</v>
      </c>
      <c r="E7" s="30">
        <f>$F$6*'22_S3_Assumptions'!$D$40*1000000/$F$5</f>
        <v>476.11168804155102</v>
      </c>
      <c r="F7" s="30">
        <f>$F$6*'22_S3_Assumptions'!$D$40*1000000/$F$5</f>
        <v>476.11168804155102</v>
      </c>
      <c r="G7" s="32" t="s">
        <v>670</v>
      </c>
      <c r="H7" s="32" t="s">
        <v>868</v>
      </c>
    </row>
    <row r="8" spans="1:8" x14ac:dyDescent="0.3">
      <c r="A8" s="32" t="s">
        <v>869</v>
      </c>
      <c r="B8" s="30">
        <f>B5*B7/1000000</f>
        <v>182.87449937675973</v>
      </c>
      <c r="C8" s="30">
        <f>C5*C7/1000000</f>
        <v>190.82556456705365</v>
      </c>
      <c r="D8" s="30">
        <f>D5*D7/1000000</f>
        <v>198.77662975734756</v>
      </c>
      <c r="E8" s="30">
        <f>E5*E7/1000000</f>
        <v>222.62982532822926</v>
      </c>
      <c r="F8" s="30">
        <f>SUM(B8:E8)</f>
        <v>795.10651902939014</v>
      </c>
      <c r="G8" s="32" t="s">
        <v>670</v>
      </c>
      <c r="H8" s="32" t="s">
        <v>870</v>
      </c>
    </row>
    <row r="9" spans="1:8" x14ac:dyDescent="0.3">
      <c r="A9" s="32" t="s">
        <v>871</v>
      </c>
      <c r="B9" s="30">
        <f>$F$6*(1-'22_S3_Assumptions'!$D$40)/4</f>
        <v>1126.4009019583029</v>
      </c>
      <c r="C9" s="30">
        <f>$F$6*(1-'22_S3_Assumptions'!$D$40)/4</f>
        <v>1126.4009019583029</v>
      </c>
      <c r="D9" s="30">
        <f>$F$6*(1-'22_S3_Assumptions'!$D$40)/4</f>
        <v>1126.4009019583029</v>
      </c>
      <c r="E9" s="30">
        <f>$F$6*(1-'22_S3_Assumptions'!$D$40)/4</f>
        <v>1126.4009019583029</v>
      </c>
      <c r="F9" s="30">
        <f>SUM(B9:E9)</f>
        <v>4505.6036078332118</v>
      </c>
      <c r="G9" s="32" t="s">
        <v>670</v>
      </c>
      <c r="H9" s="32" t="s">
        <v>872</v>
      </c>
    </row>
    <row r="10" spans="1:8" x14ac:dyDescent="0.3">
      <c r="A10" s="32" t="s">
        <v>873</v>
      </c>
      <c r="B10" s="30">
        <f>B8+B9</f>
        <v>1309.2754013350627</v>
      </c>
      <c r="C10" s="30">
        <f>C8+C9</f>
        <v>1317.2264665253565</v>
      </c>
      <c r="D10" s="30">
        <f>D8+D9</f>
        <v>1325.1775317156505</v>
      </c>
      <c r="E10" s="30">
        <f>E8+E9</f>
        <v>1349.0307272865323</v>
      </c>
      <c r="F10" s="30">
        <f>SUM(B10:E10)</f>
        <v>5300.710126862602</v>
      </c>
      <c r="G10" s="32" t="s">
        <v>670</v>
      </c>
      <c r="H10" s="32" t="s">
        <v>874</v>
      </c>
    </row>
    <row r="11" spans="1:8" x14ac:dyDescent="0.3">
      <c r="A11" s="25"/>
      <c r="B11" s="25"/>
      <c r="C11" s="25"/>
      <c r="D11" s="25"/>
      <c r="E11" s="25"/>
      <c r="F11" s="25"/>
      <c r="G11" s="25"/>
      <c r="H11" s="25"/>
    </row>
    <row r="12" spans="1:8" x14ac:dyDescent="0.3">
      <c r="A12" s="25"/>
      <c r="B12" s="25"/>
      <c r="C12" s="25"/>
      <c r="D12" s="25"/>
      <c r="E12" s="25"/>
      <c r="F12" s="25"/>
      <c r="G12" s="25"/>
      <c r="H12" s="25"/>
    </row>
    <row r="13" spans="1:8" x14ac:dyDescent="0.3">
      <c r="A13" s="25"/>
      <c r="B13" s="25"/>
      <c r="C13" s="25"/>
      <c r="D13" s="25"/>
      <c r="E13" s="25"/>
      <c r="F13" s="25"/>
      <c r="G13" s="25"/>
      <c r="H13" s="25"/>
    </row>
    <row r="14" spans="1:8" x14ac:dyDescent="0.3">
      <c r="A14" s="28" t="s">
        <v>875</v>
      </c>
      <c r="B14" s="28" t="s">
        <v>759</v>
      </c>
      <c r="C14" s="28" t="s">
        <v>760</v>
      </c>
      <c r="D14" s="28" t="s">
        <v>761</v>
      </c>
      <c r="E14" s="28" t="s">
        <v>762</v>
      </c>
      <c r="F14" s="28" t="s">
        <v>421</v>
      </c>
      <c r="G14" s="28" t="s">
        <v>876</v>
      </c>
      <c r="H14" s="28" t="s">
        <v>641</v>
      </c>
    </row>
    <row r="15" spans="1:8" x14ac:dyDescent="0.3">
      <c r="A15" s="32" t="s">
        <v>280</v>
      </c>
      <c r="B15" s="30">
        <f>'23_S3_Step1_Sales'!B8</f>
        <v>18911.888768388751</v>
      </c>
      <c r="C15" s="30">
        <f>'23_S3_Step1_Sales'!C8</f>
        <v>19734.14480179696</v>
      </c>
      <c r="D15" s="30">
        <f>'23_S3_Step1_Sales'!D8</f>
        <v>20556.400835205164</v>
      </c>
      <c r="E15" s="30">
        <f>'23_S3_Step1_Sales'!E8</f>
        <v>23023.168935429785</v>
      </c>
      <c r="F15" s="30">
        <f>SUM(B15:E15)</f>
        <v>82225.603340820657</v>
      </c>
      <c r="G15" s="35">
        <f>F15/$F$15</f>
        <v>1</v>
      </c>
      <c r="H15" s="32" t="s">
        <v>670</v>
      </c>
    </row>
    <row r="16" spans="1:8" x14ac:dyDescent="0.3">
      <c r="A16" s="32" t="s">
        <v>877</v>
      </c>
      <c r="B16" s="30">
        <f>'28_S3_Step6_COGS'!B14</f>
        <v>15848.409857530029</v>
      </c>
      <c r="C16" s="30">
        <f>'28_S3_Step6_COGS'!C14</f>
        <v>16537.47115568351</v>
      </c>
      <c r="D16" s="30">
        <f>'28_S3_Step6_COGS'!D14</f>
        <v>17226.53245383699</v>
      </c>
      <c r="E16" s="30">
        <f>'28_S3_Step6_COGS'!E14</f>
        <v>19293.716348297428</v>
      </c>
      <c r="F16" s="30">
        <f>SUM(B16:E16)</f>
        <v>68906.129815347958</v>
      </c>
      <c r="G16" s="35">
        <f>F16/$F$15</f>
        <v>0.83801306424880573</v>
      </c>
      <c r="H16" s="32" t="s">
        <v>670</v>
      </c>
    </row>
    <row r="17" spans="1:8" x14ac:dyDescent="0.3">
      <c r="A17" s="32" t="s">
        <v>359</v>
      </c>
      <c r="B17" s="30">
        <f>B15-B16</f>
        <v>3063.4789108587229</v>
      </c>
      <c r="C17" s="30">
        <f>C15-C16</f>
        <v>3196.6736461134496</v>
      </c>
      <c r="D17" s="30">
        <f>D15-D16</f>
        <v>3329.8683813681746</v>
      </c>
      <c r="E17" s="30">
        <f>E15-E16</f>
        <v>3729.4525871323567</v>
      </c>
      <c r="F17" s="30">
        <f>SUM(B17:E17)</f>
        <v>13319.473525472704</v>
      </c>
      <c r="G17" s="35">
        <f>F17/$F$15</f>
        <v>0.1619869357511943</v>
      </c>
      <c r="H17" s="32" t="s">
        <v>670</v>
      </c>
    </row>
    <row r="18" spans="1:8" x14ac:dyDescent="0.3">
      <c r="A18" s="32" t="s">
        <v>206</v>
      </c>
      <c r="B18" s="30">
        <f>B10</f>
        <v>1309.2754013350627</v>
      </c>
      <c r="C18" s="30">
        <f>C10</f>
        <v>1317.2264665253565</v>
      </c>
      <c r="D18" s="30">
        <f>D10</f>
        <v>1325.1775317156505</v>
      </c>
      <c r="E18" s="30">
        <f>E10</f>
        <v>1349.0307272865323</v>
      </c>
      <c r="F18" s="30">
        <f>SUM(B18:E18)</f>
        <v>5300.710126862602</v>
      </c>
      <c r="G18" s="35">
        <f>F18/$F$15</f>
        <v>6.4465445208002264E-2</v>
      </c>
      <c r="H18" s="32" t="s">
        <v>670</v>
      </c>
    </row>
    <row r="19" spans="1:8" x14ac:dyDescent="0.3">
      <c r="A19" s="32" t="s">
        <v>371</v>
      </c>
      <c r="B19" s="30">
        <f>B17-B18</f>
        <v>1754.2035095236602</v>
      </c>
      <c r="C19" s="30">
        <f>C17-C18</f>
        <v>1879.4471795880931</v>
      </c>
      <c r="D19" s="30">
        <f>D17-D18</f>
        <v>2004.6908496525241</v>
      </c>
      <c r="E19" s="30">
        <f>E17-E18</f>
        <v>2380.4218598458247</v>
      </c>
      <c r="F19" s="30">
        <f>SUM(B19:E19)</f>
        <v>8018.7633986101018</v>
      </c>
      <c r="G19" s="35">
        <f>F19/$F$15</f>
        <v>9.7521490543192049E-2</v>
      </c>
      <c r="H19" s="32" t="s">
        <v>670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5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3" width="44" customWidth="1"/>
    <col min="4" max="4" width="40" customWidth="1"/>
    <col min="5" max="7" width="44" customWidth="1"/>
    <col min="8" max="8" width="12" customWidth="1"/>
  </cols>
  <sheetData>
    <row r="1" spans="1:8" ht="34.049999999999997" customHeight="1" x14ac:dyDescent="0.3">
      <c r="A1" s="50" t="s">
        <v>878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879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880</v>
      </c>
      <c r="B4" s="28" t="s">
        <v>260</v>
      </c>
      <c r="C4" s="28" t="s">
        <v>641</v>
      </c>
      <c r="D4" s="28" t="s">
        <v>881</v>
      </c>
      <c r="E4" s="28" t="s">
        <v>882</v>
      </c>
      <c r="F4" s="25"/>
      <c r="G4" s="25"/>
      <c r="H4" s="25"/>
    </row>
    <row r="5" spans="1:8" x14ac:dyDescent="0.3">
      <c r="A5" s="33" t="s">
        <v>883</v>
      </c>
      <c r="B5" s="31">
        <f>'22_S3_Assumptions'!D14</f>
        <v>1670000</v>
      </c>
      <c r="C5" s="33" t="s">
        <v>657</v>
      </c>
      <c r="D5" s="33" t="s">
        <v>884</v>
      </c>
      <c r="E5" s="33" t="s">
        <v>885</v>
      </c>
      <c r="F5" s="33"/>
      <c r="G5" s="33"/>
      <c r="H5" s="33"/>
    </row>
    <row r="6" spans="1:8" x14ac:dyDescent="0.3">
      <c r="A6" s="32" t="s">
        <v>886</v>
      </c>
      <c r="B6" s="30">
        <f>'27_S3_Step5_MOH'!F6*1000000/'24_S3_Step2_Production'!F9</f>
        <v>-120587468090.21634</v>
      </c>
      <c r="C6" s="32" t="s">
        <v>670</v>
      </c>
      <c r="D6" s="32" t="s">
        <v>887</v>
      </c>
      <c r="E6" s="32" t="s">
        <v>888</v>
      </c>
      <c r="F6" s="32"/>
      <c r="G6" s="32"/>
      <c r="H6" s="32"/>
    </row>
    <row r="7" spans="1:8" x14ac:dyDescent="0.3">
      <c r="A7" s="32" t="s">
        <v>867</v>
      </c>
      <c r="B7" s="30">
        <f>'29_S3_Step7_PnL'!F7</f>
        <v>476.11168804155102</v>
      </c>
      <c r="C7" s="32" t="s">
        <v>670</v>
      </c>
      <c r="D7" s="32" t="s">
        <v>868</v>
      </c>
      <c r="E7" s="32" t="s">
        <v>889</v>
      </c>
      <c r="F7" s="32"/>
      <c r="G7" s="32"/>
      <c r="H7" s="32"/>
    </row>
    <row r="8" spans="1:8" x14ac:dyDescent="0.3">
      <c r="A8" s="32" t="s">
        <v>890</v>
      </c>
      <c r="B8" s="30">
        <f>'22_S3_Assumptions'!D22+'22_S3_Assumptions'!D23+B6+B7</f>
        <v>-120587438731.29575</v>
      </c>
      <c r="C8" s="32" t="s">
        <v>670</v>
      </c>
      <c r="D8" s="32" t="s">
        <v>891</v>
      </c>
      <c r="E8" s="32" t="s">
        <v>892</v>
      </c>
      <c r="F8" s="32"/>
      <c r="G8" s="32"/>
      <c r="H8" s="32"/>
    </row>
    <row r="9" spans="1:8" x14ac:dyDescent="0.3">
      <c r="A9" s="32" t="s">
        <v>893</v>
      </c>
      <c r="B9" s="30">
        <f>'22_S3_Assumptions'!D38+('29_S3_Step7_PnL'!F6*(1-'22_S3_Assumptions'!D40))</f>
        <v>201520013665.60361</v>
      </c>
      <c r="C9" s="32" t="s">
        <v>670</v>
      </c>
      <c r="D9" s="32" t="s">
        <v>894</v>
      </c>
      <c r="E9" s="32" t="s">
        <v>885</v>
      </c>
      <c r="F9" s="32"/>
      <c r="G9" s="32"/>
      <c r="H9" s="32"/>
    </row>
    <row r="10" spans="1:8" x14ac:dyDescent="0.3">
      <c r="A10" s="29" t="s">
        <v>895</v>
      </c>
      <c r="B10" s="29" t="s">
        <v>896</v>
      </c>
      <c r="C10" s="29" t="s">
        <v>646</v>
      </c>
      <c r="D10" s="29" t="s">
        <v>897</v>
      </c>
      <c r="E10" s="29" t="s">
        <v>898</v>
      </c>
      <c r="F10" s="29"/>
      <c r="G10" s="29"/>
      <c r="H10" s="29"/>
    </row>
    <row r="11" spans="1:8" x14ac:dyDescent="0.3">
      <c r="A11" s="25"/>
      <c r="B11" s="25"/>
      <c r="C11" s="25"/>
      <c r="D11" s="25"/>
      <c r="E11" s="25"/>
      <c r="F11" s="25"/>
      <c r="G11" s="25"/>
      <c r="H11" s="25"/>
    </row>
    <row r="12" spans="1:8" x14ac:dyDescent="0.3">
      <c r="A12" s="25"/>
      <c r="B12" s="25"/>
      <c r="C12" s="25"/>
      <c r="D12" s="25"/>
      <c r="E12" s="25"/>
      <c r="F12" s="25"/>
      <c r="G12" s="25"/>
      <c r="H12" s="25"/>
    </row>
    <row r="13" spans="1:8" x14ac:dyDescent="0.3">
      <c r="A13" s="25"/>
      <c r="B13" s="25"/>
      <c r="C13" s="25"/>
      <c r="D13" s="25"/>
      <c r="E13" s="25"/>
      <c r="F13" s="25"/>
      <c r="G13" s="25"/>
      <c r="H13" s="25"/>
    </row>
    <row r="14" spans="1:8" x14ac:dyDescent="0.3">
      <c r="A14" s="28" t="s">
        <v>350</v>
      </c>
      <c r="B14" s="28" t="s">
        <v>899</v>
      </c>
      <c r="C14" s="28" t="s">
        <v>900</v>
      </c>
      <c r="D14" s="28" t="s">
        <v>882</v>
      </c>
      <c r="E14" s="28" t="s">
        <v>641</v>
      </c>
      <c r="F14" s="25"/>
      <c r="G14" s="25"/>
      <c r="H14" s="25"/>
    </row>
    <row r="15" spans="1:8" x14ac:dyDescent="0.3">
      <c r="A15" s="29" t="s">
        <v>901</v>
      </c>
      <c r="B15" s="29" t="s">
        <v>902</v>
      </c>
      <c r="C15" s="29" t="s">
        <v>903</v>
      </c>
      <c r="D15" s="29" t="s">
        <v>904</v>
      </c>
      <c r="E15" s="29" t="s">
        <v>646</v>
      </c>
      <c r="F15" s="29"/>
      <c r="G15" s="29"/>
      <c r="H15" s="29"/>
    </row>
    <row r="16" spans="1:8" x14ac:dyDescent="0.3">
      <c r="A16" s="29" t="s">
        <v>905</v>
      </c>
      <c r="B16" s="29" t="s">
        <v>906</v>
      </c>
      <c r="C16" s="29" t="s">
        <v>907</v>
      </c>
      <c r="D16" s="29" t="s">
        <v>908</v>
      </c>
      <c r="E16" s="29" t="s">
        <v>646</v>
      </c>
      <c r="F16" s="29"/>
      <c r="G16" s="29"/>
      <c r="H16" s="29"/>
    </row>
    <row r="17" spans="1:8" x14ac:dyDescent="0.3">
      <c r="A17" s="29" t="s">
        <v>909</v>
      </c>
      <c r="B17" s="29" t="s">
        <v>910</v>
      </c>
      <c r="C17" s="29" t="s">
        <v>911</v>
      </c>
      <c r="D17" s="29" t="s">
        <v>888</v>
      </c>
      <c r="E17" s="29" t="s">
        <v>646</v>
      </c>
      <c r="F17" s="29"/>
      <c r="G17" s="29"/>
      <c r="H17" s="29"/>
    </row>
    <row r="18" spans="1:8" x14ac:dyDescent="0.3">
      <c r="A18" s="29" t="s">
        <v>912</v>
      </c>
      <c r="B18" s="29" t="s">
        <v>913</v>
      </c>
      <c r="C18" s="29" t="s">
        <v>914</v>
      </c>
      <c r="D18" s="29" t="s">
        <v>915</v>
      </c>
      <c r="E18" s="29" t="s">
        <v>646</v>
      </c>
      <c r="F18" s="29"/>
      <c r="G18" s="29"/>
      <c r="H18" s="29"/>
    </row>
    <row r="19" spans="1:8" x14ac:dyDescent="0.3">
      <c r="A19" s="29" t="s">
        <v>916</v>
      </c>
      <c r="B19" s="29" t="s">
        <v>917</v>
      </c>
      <c r="C19" s="29" t="s">
        <v>918</v>
      </c>
      <c r="D19" s="29" t="s">
        <v>919</v>
      </c>
      <c r="E19" s="29" t="s">
        <v>646</v>
      </c>
      <c r="F19" s="29"/>
      <c r="G19" s="29"/>
      <c r="H19" s="29"/>
    </row>
    <row r="20" spans="1:8" x14ac:dyDescent="0.3">
      <c r="A20" s="25"/>
      <c r="B20" s="25"/>
      <c r="C20" s="25"/>
      <c r="D20" s="25"/>
      <c r="E20" s="25"/>
      <c r="F20" s="25"/>
      <c r="G20" s="25"/>
      <c r="H20" s="25"/>
    </row>
    <row r="21" spans="1:8" x14ac:dyDescent="0.3">
      <c r="A21" s="25"/>
      <c r="B21" s="25"/>
      <c r="C21" s="25"/>
      <c r="D21" s="25"/>
      <c r="E21" s="25"/>
      <c r="F21" s="25"/>
      <c r="G21" s="25"/>
      <c r="H21" s="25"/>
    </row>
    <row r="22" spans="1:8" x14ac:dyDescent="0.3">
      <c r="A22" s="25"/>
      <c r="B22" s="25"/>
      <c r="C22" s="25"/>
      <c r="D22" s="25"/>
      <c r="E22" s="25"/>
      <c r="F22" s="25"/>
      <c r="G22" s="25"/>
      <c r="H22" s="25"/>
    </row>
    <row r="23" spans="1:8" x14ac:dyDescent="0.3">
      <c r="A23" s="28" t="s">
        <v>517</v>
      </c>
      <c r="B23" s="28" t="s">
        <v>48</v>
      </c>
      <c r="C23" s="28" t="s">
        <v>516</v>
      </c>
      <c r="D23" s="28" t="s">
        <v>920</v>
      </c>
      <c r="E23" s="28" t="s">
        <v>921</v>
      </c>
      <c r="F23" s="28" t="s">
        <v>922</v>
      </c>
      <c r="G23" s="28" t="s">
        <v>530</v>
      </c>
      <c r="H23" s="28" t="s">
        <v>641</v>
      </c>
    </row>
    <row r="24" spans="1:8" x14ac:dyDescent="0.3">
      <c r="A24" s="32">
        <v>1</v>
      </c>
      <c r="B24" s="32" t="s">
        <v>923</v>
      </c>
      <c r="C24" s="30">
        <f>'22_S3_Assumptions'!D22</f>
        <v>24756.693346831602</v>
      </c>
      <c r="D24" s="35">
        <f>'22_S3_Assumptions'!D41</f>
        <v>0.1</v>
      </c>
      <c r="E24" s="30">
        <f>'29_S3_Step7_PnL'!F19-(C24*D24*'22_S3_Assumptions'!D14/1000000)</f>
        <v>3884.3956096892243</v>
      </c>
      <c r="F24" s="30">
        <f>'29_S3_Step7_PnL'!F19+(C24*D24*'22_S3_Assumptions'!D14/1000000)</f>
        <v>12153.13118753098</v>
      </c>
      <c r="G24" s="30">
        <f>C24*D24*'22_S3_Assumptions'!D14/1000000</f>
        <v>4134.3677889208775</v>
      </c>
      <c r="H24" s="32" t="s">
        <v>670</v>
      </c>
    </row>
    <row r="25" spans="1:8" x14ac:dyDescent="0.3">
      <c r="A25" s="32">
        <v>2</v>
      </c>
      <c r="B25" s="32" t="s">
        <v>924</v>
      </c>
      <c r="C25" s="31">
        <f>'23_S3_Step1_Sales'!F6</f>
        <v>1670000</v>
      </c>
      <c r="D25" s="35">
        <f>'22_S3_Assumptions'!D41</f>
        <v>0.1</v>
      </c>
      <c r="E25" s="30">
        <f>'29_S3_Step7_PnL'!F19-(C25*D25*('22_S3_Assumptions'!D15-$B$8)/1000000)</f>
        <v>-20138102471.923328</v>
      </c>
      <c r="F25" s="30">
        <f>'29_S3_Step7_PnL'!F19+(C25*D25*('22_S3_Assumptions'!D15-$B$8)/1000000)</f>
        <v>20138118509.450123</v>
      </c>
      <c r="G25" s="30">
        <f>C25*D25*('22_S3_Assumptions'!D15-$B$8)/1000000</f>
        <v>20138110490.686726</v>
      </c>
      <c r="H25" s="32" t="s">
        <v>670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0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4" customWidth="1"/>
    <col min="2" max="2" width="41" customWidth="1"/>
    <col min="3" max="3" width="44" customWidth="1"/>
    <col min="4" max="4" width="36" customWidth="1"/>
    <col min="5" max="8" width="11" customWidth="1"/>
  </cols>
  <sheetData>
    <row r="1" spans="1:8" ht="34.049999999999997" customHeight="1" x14ac:dyDescent="0.3">
      <c r="A1" s="50" t="s">
        <v>925</v>
      </c>
      <c r="B1" s="40"/>
      <c r="C1" s="40"/>
      <c r="D1" s="40"/>
      <c r="E1" s="40"/>
      <c r="F1" s="40"/>
      <c r="G1" s="40"/>
      <c r="H1" s="41"/>
    </row>
    <row r="2" spans="1:8" x14ac:dyDescent="0.3">
      <c r="A2" s="49" t="s">
        <v>926</v>
      </c>
      <c r="B2" s="40"/>
      <c r="C2" s="40"/>
      <c r="D2" s="40"/>
      <c r="E2" s="40"/>
      <c r="F2" s="40"/>
      <c r="G2" s="40"/>
      <c r="H2" s="41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8" t="s">
        <v>540</v>
      </c>
      <c r="B4" s="28" t="s">
        <v>541</v>
      </c>
      <c r="C4" s="28" t="s">
        <v>350</v>
      </c>
      <c r="D4" s="28" t="s">
        <v>544</v>
      </c>
      <c r="E4" s="25"/>
      <c r="F4" s="25"/>
      <c r="G4" s="25"/>
      <c r="H4" s="25"/>
    </row>
    <row r="5" spans="1:8" x14ac:dyDescent="0.3">
      <c r="A5" s="38" t="s">
        <v>763</v>
      </c>
      <c r="B5" s="38" t="s">
        <v>927</v>
      </c>
      <c r="C5" s="32">
        <f>'23_S3_Step1_Sales'!F5-1</f>
        <v>0</v>
      </c>
      <c r="D5" s="32" t="str">
        <f>IF(ABS(C5)&lt;0.0001,"PASS","CHECK")</f>
        <v>PASS</v>
      </c>
      <c r="E5" s="38"/>
      <c r="F5" s="38"/>
      <c r="G5" s="38"/>
      <c r="H5" s="38"/>
    </row>
    <row r="6" spans="1:8" x14ac:dyDescent="0.3">
      <c r="A6" s="38" t="s">
        <v>928</v>
      </c>
      <c r="B6" s="38" t="s">
        <v>929</v>
      </c>
      <c r="C6" s="32">
        <f>'23_S3_Step1_Sales'!F8-'22_S3_Assumptions'!D13</f>
        <v>0</v>
      </c>
      <c r="D6" s="32" t="str">
        <f>IF(ABS(C6)&lt;0.01,"PASS","CHECK")</f>
        <v>PASS</v>
      </c>
      <c r="E6" s="38"/>
      <c r="F6" s="38"/>
      <c r="G6" s="38"/>
      <c r="H6" s="38"/>
    </row>
    <row r="7" spans="1:8" x14ac:dyDescent="0.3">
      <c r="A7" s="38" t="s">
        <v>930</v>
      </c>
      <c r="B7" s="38" t="s">
        <v>931</v>
      </c>
      <c r="C7" s="32">
        <f>'24_S3_Step2_Production'!F10-('24_S3_Step2_Production'!F7-'24_S3_Step2_Production'!F6)</f>
        <v>0</v>
      </c>
      <c r="D7" s="32" t="str">
        <f>IF(ABS(C7)&lt;0.01,"PASS","CHECK")</f>
        <v>PASS</v>
      </c>
      <c r="E7" s="38"/>
      <c r="F7" s="38"/>
      <c r="G7" s="38"/>
      <c r="H7" s="38"/>
    </row>
    <row r="8" spans="1:8" x14ac:dyDescent="0.3">
      <c r="A8" s="38" t="s">
        <v>932</v>
      </c>
      <c r="B8" s="38" t="s">
        <v>933</v>
      </c>
      <c r="C8" s="32">
        <f>'28_S3_Step6_COGS'!B26</f>
        <v>0</v>
      </c>
      <c r="D8" s="32" t="str">
        <f>IF(ABS(C8)&lt;0.01,"PASS","CHECK")</f>
        <v>PASS</v>
      </c>
      <c r="E8" s="38"/>
      <c r="F8" s="38"/>
      <c r="G8" s="38"/>
      <c r="H8" s="38"/>
    </row>
    <row r="9" spans="1:8" x14ac:dyDescent="0.3">
      <c r="A9" s="38" t="s">
        <v>934</v>
      </c>
      <c r="B9" s="38" t="s">
        <v>935</v>
      </c>
      <c r="C9" s="32">
        <f>'29_S3_Step7_PnL'!F10-'29_S3_Step7_PnL'!F18</f>
        <v>0</v>
      </c>
      <c r="D9" s="32" t="str">
        <f>IF(ABS(C9)&lt;0.01,"PASS","CHECK")</f>
        <v>PASS</v>
      </c>
      <c r="E9" s="38"/>
      <c r="F9" s="38"/>
      <c r="G9" s="38"/>
      <c r="H9" s="38"/>
    </row>
    <row r="10" spans="1:8" x14ac:dyDescent="0.3">
      <c r="A10" s="38" t="s">
        <v>553</v>
      </c>
      <c r="B10" s="38" t="s">
        <v>936</v>
      </c>
      <c r="C10" s="32">
        <f>'30_S3_Step8_Variance'!G24-'30_S3_Step8_Variance'!G25</f>
        <v>-20138106356.318935</v>
      </c>
      <c r="D10" s="32" t="str">
        <f>IF(C10&gt;0,"PASS","CHECK")</f>
        <v>CHECK</v>
      </c>
      <c r="E10" s="38"/>
      <c r="F10" s="38"/>
      <c r="G10" s="38"/>
      <c r="H10" s="38"/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7B3E"/>
    <pageSetUpPr fitToPage="1"/>
  </sheetPr>
  <dimension ref="A1:H14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1" customWidth="1"/>
    <col min="2" max="5" width="42" customWidth="1"/>
    <col min="6" max="6" width="43" customWidth="1"/>
    <col min="7" max="8" width="10" customWidth="1"/>
  </cols>
  <sheetData>
    <row r="1" spans="1:8" ht="28.05" customHeight="1" x14ac:dyDescent="0.3">
      <c r="A1" s="43" t="s">
        <v>197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198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199</v>
      </c>
      <c r="G4" s="1"/>
      <c r="H4" s="1"/>
    </row>
    <row r="5" spans="1:8" x14ac:dyDescent="0.3">
      <c r="A5" s="3" t="s">
        <v>20</v>
      </c>
      <c r="B5" s="5">
        <f>'01_Source_Data'!B5</f>
        <v>81462</v>
      </c>
      <c r="C5" s="5">
        <f>'01_Source_Data'!C5</f>
        <v>96773</v>
      </c>
      <c r="D5" s="5">
        <f>'01_Source_Data'!D5</f>
        <v>97690</v>
      </c>
      <c r="E5" s="5">
        <f>'01_Source_Data'!E5</f>
        <v>94827</v>
      </c>
      <c r="F5" s="3" t="s">
        <v>200</v>
      </c>
      <c r="G5" s="1"/>
      <c r="H5" s="1"/>
    </row>
    <row r="6" spans="1:8" x14ac:dyDescent="0.3">
      <c r="A6" s="4" t="s">
        <v>201</v>
      </c>
      <c r="B6" s="6">
        <f>'01_Source_Data'!B6+'01_Source_Data'!B8</f>
        <v>77553</v>
      </c>
      <c r="C6" s="6">
        <f>'01_Source_Data'!C6+'01_Source_Data'!C8</f>
        <v>90738</v>
      </c>
      <c r="D6" s="6">
        <f>'01_Source_Data'!D6+'01_Source_Data'!D8</f>
        <v>87604</v>
      </c>
      <c r="E6" s="6">
        <f>'01_Source_Data'!E6+'01_Source_Data'!E8</f>
        <v>82056</v>
      </c>
      <c r="F6" s="4" t="s">
        <v>202</v>
      </c>
      <c r="G6" s="1"/>
      <c r="H6" s="1"/>
    </row>
    <row r="7" spans="1:8" x14ac:dyDescent="0.3">
      <c r="A7" s="3" t="s">
        <v>203</v>
      </c>
      <c r="B7" s="5">
        <f>'01_Source_Data'!B7</f>
        <v>3909</v>
      </c>
      <c r="C7" s="5">
        <f>'01_Source_Data'!C7</f>
        <v>6035</v>
      </c>
      <c r="D7" s="5">
        <f>'01_Source_Data'!D7</f>
        <v>10086</v>
      </c>
      <c r="E7" s="5">
        <f>'01_Source_Data'!E7</f>
        <v>12771</v>
      </c>
      <c r="F7" s="3" t="s">
        <v>200</v>
      </c>
      <c r="G7" s="1"/>
      <c r="H7" s="1"/>
    </row>
    <row r="8" spans="1:8" x14ac:dyDescent="0.3">
      <c r="A8" s="4" t="s">
        <v>26</v>
      </c>
      <c r="B8" s="6">
        <f>'01_Source_Data'!B9</f>
        <v>60609</v>
      </c>
      <c r="C8" s="6">
        <f>'01_Source_Data'!C9</f>
        <v>79113</v>
      </c>
      <c r="D8" s="6">
        <f>'01_Source_Data'!D9</f>
        <v>80240</v>
      </c>
      <c r="E8" s="6">
        <f>'01_Source_Data'!E9</f>
        <v>77733</v>
      </c>
      <c r="F8" s="4" t="s">
        <v>200</v>
      </c>
      <c r="G8" s="1"/>
      <c r="H8" s="1"/>
    </row>
    <row r="9" spans="1:8" x14ac:dyDescent="0.3">
      <c r="A9" s="3" t="s">
        <v>27</v>
      </c>
      <c r="B9" s="5">
        <f>B5-B8</f>
        <v>20853</v>
      </c>
      <c r="C9" s="5">
        <f>C5-C8</f>
        <v>17660</v>
      </c>
      <c r="D9" s="5">
        <f>D5-D8</f>
        <v>17450</v>
      </c>
      <c r="E9" s="5">
        <f>E5-E8</f>
        <v>17094</v>
      </c>
      <c r="F9" s="3" t="s">
        <v>204</v>
      </c>
      <c r="G9" s="1"/>
      <c r="H9" s="1"/>
    </row>
    <row r="10" spans="1:8" x14ac:dyDescent="0.3">
      <c r="A10" s="4" t="s">
        <v>205</v>
      </c>
      <c r="B10" s="6">
        <f>'01_Source_Data'!B11</f>
        <v>3075</v>
      </c>
      <c r="C10" s="6">
        <f>'01_Source_Data'!C11</f>
        <v>3969</v>
      </c>
      <c r="D10" s="6">
        <f>'01_Source_Data'!D11</f>
        <v>4540</v>
      </c>
      <c r="E10" s="6">
        <f>'01_Source_Data'!E11</f>
        <v>6411</v>
      </c>
      <c r="F10" s="4" t="s">
        <v>200</v>
      </c>
      <c r="G10" s="1"/>
      <c r="H10" s="1"/>
    </row>
    <row r="11" spans="1:8" x14ac:dyDescent="0.3">
      <c r="A11" s="3" t="s">
        <v>206</v>
      </c>
      <c r="B11" s="5">
        <f>'01_Source_Data'!B12</f>
        <v>3946</v>
      </c>
      <c r="C11" s="5">
        <f>'01_Source_Data'!C12</f>
        <v>4800</v>
      </c>
      <c r="D11" s="5">
        <f>'01_Source_Data'!D12</f>
        <v>5150</v>
      </c>
      <c r="E11" s="5">
        <f>'01_Source_Data'!E12</f>
        <v>5834</v>
      </c>
      <c r="F11" s="3" t="s">
        <v>200</v>
      </c>
      <c r="G11" s="1"/>
      <c r="H11" s="1"/>
    </row>
    <row r="12" spans="1:8" x14ac:dyDescent="0.3">
      <c r="A12" s="4" t="s">
        <v>181</v>
      </c>
      <c r="B12" s="6">
        <f>'01_Source_Data'!B13</f>
        <v>176</v>
      </c>
      <c r="C12" s="6">
        <f>'01_Source_Data'!C13</f>
        <v>0</v>
      </c>
      <c r="D12" s="6">
        <f>'01_Source_Data'!D13</f>
        <v>684</v>
      </c>
      <c r="E12" s="6">
        <f>'01_Source_Data'!E13</f>
        <v>494</v>
      </c>
      <c r="F12" s="4" t="s">
        <v>200</v>
      </c>
      <c r="G12" s="1"/>
      <c r="H12" s="1"/>
    </row>
    <row r="13" spans="1:8" x14ac:dyDescent="0.3">
      <c r="A13" s="3" t="s">
        <v>207</v>
      </c>
      <c r="B13" s="5">
        <f>B9-B10-B11-B12</f>
        <v>13656</v>
      </c>
      <c r="C13" s="5">
        <f>C9-C10-C11-C12</f>
        <v>8891</v>
      </c>
      <c r="D13" s="5">
        <f>D9-D10-D11-D12</f>
        <v>7076</v>
      </c>
      <c r="E13" s="5">
        <f>E9-E10-E11-E12</f>
        <v>4355</v>
      </c>
      <c r="F13" s="3" t="s">
        <v>208</v>
      </c>
      <c r="G13" s="1"/>
      <c r="H13" s="1"/>
    </row>
    <row r="14" spans="1:8" x14ac:dyDescent="0.3">
      <c r="A14" s="4" t="s">
        <v>209</v>
      </c>
      <c r="B14" s="6">
        <f>'01_Source_Data'!B14-B13</f>
        <v>0</v>
      </c>
      <c r="C14" s="6">
        <f>'01_Source_Data'!C14-C13</f>
        <v>0</v>
      </c>
      <c r="D14" s="6">
        <f>'01_Source_Data'!D14-D13</f>
        <v>0</v>
      </c>
      <c r="E14" s="6">
        <f>'01_Source_Data'!E14-E13</f>
        <v>0</v>
      </c>
      <c r="F14" s="4" t="s">
        <v>210</v>
      </c>
      <c r="G14" s="1"/>
      <c r="H14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37B3E"/>
    <pageSetUpPr fitToPage="1"/>
  </sheetPr>
  <dimension ref="A1:J10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5" width="43" customWidth="1"/>
    <col min="6" max="6" width="21" customWidth="1"/>
    <col min="7" max="7" width="48" customWidth="1"/>
    <col min="8" max="10" width="10" customWidth="1"/>
  </cols>
  <sheetData>
    <row r="1" spans="1:10" ht="28.05" customHeight="1" x14ac:dyDescent="0.3">
      <c r="A1" s="43" t="s">
        <v>211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4" customHeight="1" x14ac:dyDescent="0.3">
      <c r="A2" s="45" t="s">
        <v>212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14</v>
      </c>
      <c r="B4" s="2" t="s">
        <v>213</v>
      </c>
      <c r="C4" s="2" t="s">
        <v>214</v>
      </c>
      <c r="D4" s="2" t="s">
        <v>215</v>
      </c>
      <c r="E4" s="2" t="s">
        <v>216</v>
      </c>
      <c r="F4" s="2" t="s">
        <v>217</v>
      </c>
      <c r="G4" s="2" t="s">
        <v>218</v>
      </c>
      <c r="H4" s="1"/>
      <c r="I4" s="1"/>
      <c r="J4" s="1"/>
    </row>
    <row r="5" spans="1:10" x14ac:dyDescent="0.3">
      <c r="A5" s="3" t="s">
        <v>20</v>
      </c>
      <c r="B5" s="8">
        <f>'03_S1_Step1_IS'!B5/'03_S1_Step1_IS'!B5</f>
        <v>1</v>
      </c>
      <c r="C5" s="8">
        <f>'03_S1_Step1_IS'!C5/'03_S1_Step1_IS'!C5</f>
        <v>1</v>
      </c>
      <c r="D5" s="8">
        <f>'03_S1_Step1_IS'!D5/'03_S1_Step1_IS'!D5</f>
        <v>1</v>
      </c>
      <c r="E5" s="8">
        <f>'03_S1_Step1_IS'!E5/'03_S1_Step1_IS'!E5</f>
        <v>1</v>
      </c>
      <c r="F5" s="8">
        <f t="shared" ref="F5:F10" si="0">E5-D5</f>
        <v>0</v>
      </c>
      <c r="G5" s="3" t="s">
        <v>219</v>
      </c>
      <c r="H5" s="1"/>
      <c r="I5" s="1"/>
      <c r="J5" s="1"/>
    </row>
    <row r="6" spans="1:10" x14ac:dyDescent="0.3">
      <c r="A6" s="4" t="s">
        <v>26</v>
      </c>
      <c r="B6" s="9">
        <f>'03_S1_Step1_IS'!B8/'03_S1_Step1_IS'!B5</f>
        <v>0.74401561464240995</v>
      </c>
      <c r="C6" s="9">
        <f>'03_S1_Step1_IS'!C8/'03_S1_Step1_IS'!C5</f>
        <v>0.81751108263668582</v>
      </c>
      <c r="D6" s="9">
        <f>'03_S1_Step1_IS'!D8/'03_S1_Step1_IS'!D5</f>
        <v>0.82137373323779306</v>
      </c>
      <c r="E6" s="9">
        <f>'03_S1_Step1_IS'!E8/'03_S1_Step1_IS'!E5</f>
        <v>0.81973488563383845</v>
      </c>
      <c r="F6" s="9">
        <f t="shared" si="0"/>
        <v>-1.6388476039546074E-3</v>
      </c>
      <c r="G6" s="4" t="s">
        <v>220</v>
      </c>
      <c r="H6" s="1"/>
      <c r="I6" s="1"/>
      <c r="J6" s="1"/>
    </row>
    <row r="7" spans="1:10" x14ac:dyDescent="0.3">
      <c r="A7" s="3" t="s">
        <v>27</v>
      </c>
      <c r="B7" s="8">
        <f>'03_S1_Step1_IS'!B9/'03_S1_Step1_IS'!B5</f>
        <v>0.25598438535759005</v>
      </c>
      <c r="C7" s="8">
        <f>'03_S1_Step1_IS'!C9/'03_S1_Step1_IS'!C5</f>
        <v>0.18248891736331416</v>
      </c>
      <c r="D7" s="8">
        <f>'03_S1_Step1_IS'!D9/'03_S1_Step1_IS'!D5</f>
        <v>0.17862626676220697</v>
      </c>
      <c r="E7" s="8">
        <f>'03_S1_Step1_IS'!E9/'03_S1_Step1_IS'!E5</f>
        <v>0.18026511436616155</v>
      </c>
      <c r="F7" s="8">
        <f t="shared" si="0"/>
        <v>1.6388476039545796E-3</v>
      </c>
      <c r="G7" s="3" t="s">
        <v>221</v>
      </c>
      <c r="H7" s="1"/>
      <c r="I7" s="1"/>
      <c r="J7" s="1"/>
    </row>
    <row r="8" spans="1:10" x14ac:dyDescent="0.3">
      <c r="A8" s="4" t="s">
        <v>205</v>
      </c>
      <c r="B8" s="9">
        <f>'03_S1_Step1_IS'!B10/'03_S1_Step1_IS'!B5</f>
        <v>3.7747661486337188E-2</v>
      </c>
      <c r="C8" s="9">
        <f>'03_S1_Step1_IS'!C10/'03_S1_Step1_IS'!C5</f>
        <v>4.1013505833238609E-2</v>
      </c>
      <c r="D8" s="9">
        <f>'03_S1_Step1_IS'!D10/'03_S1_Step1_IS'!D5</f>
        <v>4.6473538745009722E-2</v>
      </c>
      <c r="E8" s="9">
        <f>'03_S1_Step1_IS'!E10/'03_S1_Step1_IS'!E5</f>
        <v>6.7607327027112529E-2</v>
      </c>
      <c r="F8" s="9">
        <f t="shared" si="0"/>
        <v>2.1133788282102807E-2</v>
      </c>
      <c r="G8" s="4" t="s">
        <v>222</v>
      </c>
      <c r="H8" s="1"/>
      <c r="I8" s="1"/>
      <c r="J8" s="1"/>
    </row>
    <row r="9" spans="1:10" x14ac:dyDescent="0.3">
      <c r="A9" s="3" t="s">
        <v>206</v>
      </c>
      <c r="B9" s="8">
        <f>'03_S1_Step1_IS'!B11/'03_S1_Step1_IS'!B5</f>
        <v>4.8439763325231394E-2</v>
      </c>
      <c r="C9" s="8">
        <f>'03_S1_Step1_IS'!C11/'03_S1_Step1_IS'!C5</f>
        <v>4.9600611740878139E-2</v>
      </c>
      <c r="D9" s="8">
        <f>'03_S1_Step1_IS'!D11/'03_S1_Step1_IS'!D5</f>
        <v>5.2717780734977994E-2</v>
      </c>
      <c r="E9" s="8">
        <f>'03_S1_Step1_IS'!E11/'03_S1_Step1_IS'!E5</f>
        <v>6.1522562139475045E-2</v>
      </c>
      <c r="F9" s="8">
        <f t="shared" si="0"/>
        <v>8.8047814044970515E-3</v>
      </c>
      <c r="G9" s="3" t="s">
        <v>223</v>
      </c>
      <c r="H9" s="1"/>
      <c r="I9" s="1"/>
      <c r="J9" s="1"/>
    </row>
    <row r="10" spans="1:10" x14ac:dyDescent="0.3">
      <c r="A10" s="4" t="s">
        <v>207</v>
      </c>
      <c r="B10" s="9">
        <f>'03_S1_Step1_IS'!B13/'03_S1_Step1_IS'!B5</f>
        <v>0.16763644398615304</v>
      </c>
      <c r="C10" s="9">
        <f>'03_S1_Step1_IS'!C13/'03_S1_Step1_IS'!C5</f>
        <v>9.1874799789197395E-2</v>
      </c>
      <c r="D10" s="9">
        <f>'03_S1_Step1_IS'!D13/'03_S1_Step1_IS'!D5</f>
        <v>7.2433207083631893E-2</v>
      </c>
      <c r="E10" s="9">
        <f>'03_S1_Step1_IS'!E13/'03_S1_Step1_IS'!E5</f>
        <v>4.5925738450019508E-2</v>
      </c>
      <c r="F10" s="9">
        <f t="shared" si="0"/>
        <v>-2.6507468633612384E-2</v>
      </c>
      <c r="G10" s="4" t="s">
        <v>224</v>
      </c>
      <c r="H10" s="1"/>
      <c r="I10" s="1"/>
      <c r="J10" s="1"/>
    </row>
  </sheetData>
  <mergeCells count="2">
    <mergeCell ref="A1:J1"/>
    <mergeCell ref="A2:J2"/>
  </mergeCells>
  <pageMargins left="0.75" right="0.75" top="1" bottom="1" header="0.5" footer="0.5"/>
  <pageSetup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37B3E"/>
    <pageSetUpPr fitToPage="1"/>
  </sheetPr>
  <dimension ref="A1:H12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10" customWidth="1"/>
    <col min="3" max="3" width="14" customWidth="1"/>
    <col min="4" max="4" width="10" customWidth="1"/>
    <col min="5" max="5" width="20" customWidth="1"/>
    <col min="6" max="6" width="19" customWidth="1"/>
    <col min="7" max="8" width="10" customWidth="1"/>
  </cols>
  <sheetData>
    <row r="1" spans="1:8" ht="28.05" customHeight="1" x14ac:dyDescent="0.3">
      <c r="A1" s="43" t="s">
        <v>225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226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227</v>
      </c>
      <c r="B4" s="2" t="s">
        <v>228</v>
      </c>
      <c r="C4" s="2" t="s">
        <v>229</v>
      </c>
      <c r="D4" s="2" t="s">
        <v>230</v>
      </c>
      <c r="E4" s="2" t="s">
        <v>231</v>
      </c>
      <c r="F4" s="2" t="s">
        <v>232</v>
      </c>
      <c r="G4" s="1"/>
      <c r="H4" s="1"/>
    </row>
    <row r="5" spans="1:8" x14ac:dyDescent="0.3">
      <c r="A5" s="3" t="s">
        <v>233</v>
      </c>
      <c r="B5" s="3" t="s">
        <v>234</v>
      </c>
      <c r="C5" s="3" t="s">
        <v>235</v>
      </c>
      <c r="D5" s="3" t="s">
        <v>236</v>
      </c>
      <c r="E5" s="3" t="s">
        <v>237</v>
      </c>
      <c r="F5" s="3" t="s">
        <v>238</v>
      </c>
      <c r="G5" s="1"/>
      <c r="H5" s="1"/>
    </row>
    <row r="6" spans="1:8" x14ac:dyDescent="0.3">
      <c r="A6" s="4" t="s">
        <v>239</v>
      </c>
      <c r="B6" s="4" t="s">
        <v>234</v>
      </c>
      <c r="C6" s="4" t="s">
        <v>235</v>
      </c>
      <c r="D6" s="4" t="s">
        <v>236</v>
      </c>
      <c r="E6" s="4" t="s">
        <v>240</v>
      </c>
      <c r="F6" s="4" t="s">
        <v>241</v>
      </c>
      <c r="G6" s="1"/>
      <c r="H6" s="1"/>
    </row>
    <row r="7" spans="1:8" x14ac:dyDescent="0.3">
      <c r="A7" s="3" t="s">
        <v>242</v>
      </c>
      <c r="B7" s="3" t="s">
        <v>243</v>
      </c>
      <c r="C7" s="3" t="s">
        <v>244</v>
      </c>
      <c r="D7" s="3" t="s">
        <v>236</v>
      </c>
      <c r="E7" s="3" t="s">
        <v>245</v>
      </c>
      <c r="F7" s="3" t="s">
        <v>246</v>
      </c>
      <c r="G7" s="1"/>
      <c r="H7" s="1"/>
    </row>
    <row r="8" spans="1:8" x14ac:dyDescent="0.3">
      <c r="A8" s="4" t="s">
        <v>247</v>
      </c>
      <c r="B8" s="4" t="s">
        <v>243</v>
      </c>
      <c r="C8" s="4" t="s">
        <v>244</v>
      </c>
      <c r="D8" s="4" t="s">
        <v>236</v>
      </c>
      <c r="E8" s="4" t="s">
        <v>245</v>
      </c>
      <c r="F8" s="4" t="s">
        <v>246</v>
      </c>
      <c r="G8" s="1"/>
      <c r="H8" s="1"/>
    </row>
    <row r="9" spans="1:8" x14ac:dyDescent="0.3">
      <c r="A9" s="3" t="s">
        <v>248</v>
      </c>
      <c r="B9" s="3" t="s">
        <v>243</v>
      </c>
      <c r="C9" s="3" t="s">
        <v>249</v>
      </c>
      <c r="D9" s="3" t="s">
        <v>236</v>
      </c>
      <c r="E9" s="3" t="s">
        <v>245</v>
      </c>
      <c r="F9" s="3" t="s">
        <v>250</v>
      </c>
      <c r="G9" s="1"/>
      <c r="H9" s="1"/>
    </row>
    <row r="10" spans="1:8" x14ac:dyDescent="0.3">
      <c r="A10" s="4" t="s">
        <v>251</v>
      </c>
      <c r="B10" s="4" t="s">
        <v>243</v>
      </c>
      <c r="C10" s="4" t="s">
        <v>244</v>
      </c>
      <c r="D10" s="4" t="s">
        <v>236</v>
      </c>
      <c r="E10" s="4" t="s">
        <v>245</v>
      </c>
      <c r="F10" s="4" t="s">
        <v>246</v>
      </c>
      <c r="G10" s="1"/>
      <c r="H10" s="1"/>
    </row>
    <row r="11" spans="1:8" x14ac:dyDescent="0.3">
      <c r="A11" s="3" t="s">
        <v>205</v>
      </c>
      <c r="B11" s="3" t="s">
        <v>243</v>
      </c>
      <c r="C11" s="3" t="s">
        <v>252</v>
      </c>
      <c r="D11" s="3" t="s">
        <v>253</v>
      </c>
      <c r="E11" s="3" t="s">
        <v>254</v>
      </c>
      <c r="F11" s="3" t="s">
        <v>255</v>
      </c>
      <c r="G11" s="1"/>
      <c r="H11" s="1"/>
    </row>
    <row r="12" spans="1:8" x14ac:dyDescent="0.3">
      <c r="A12" s="4" t="s">
        <v>206</v>
      </c>
      <c r="B12" s="4" t="s">
        <v>243</v>
      </c>
      <c r="C12" s="4" t="s">
        <v>256</v>
      </c>
      <c r="D12" s="4" t="s">
        <v>253</v>
      </c>
      <c r="E12" s="4" t="s">
        <v>254</v>
      </c>
      <c r="F12" s="4" t="s">
        <v>255</v>
      </c>
      <c r="G12" s="1"/>
      <c r="H12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37B3E"/>
    <pageSetUpPr fitToPage="1"/>
  </sheetPr>
  <dimension ref="A1:I18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58" customWidth="1"/>
    <col min="2" max="2" width="42" customWidth="1"/>
    <col min="3" max="3" width="43" customWidth="1"/>
    <col min="4" max="4" width="15" customWidth="1"/>
    <col min="5" max="5" width="28" customWidth="1"/>
    <col min="6" max="6" width="12" customWidth="1"/>
    <col min="7" max="7" width="58" customWidth="1"/>
    <col min="8" max="9" width="10" customWidth="1"/>
  </cols>
  <sheetData>
    <row r="1" spans="1:9" ht="28.05" customHeight="1" x14ac:dyDescent="0.3">
      <c r="A1" s="43" t="s">
        <v>257</v>
      </c>
      <c r="B1" s="44"/>
      <c r="C1" s="44"/>
      <c r="D1" s="44"/>
      <c r="E1" s="44"/>
      <c r="F1" s="44"/>
      <c r="G1" s="44"/>
      <c r="H1" s="44"/>
      <c r="I1" s="44"/>
    </row>
    <row r="2" spans="1:9" ht="24" customHeight="1" x14ac:dyDescent="0.3">
      <c r="A2" s="45" t="s">
        <v>258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2" t="s">
        <v>259</v>
      </c>
      <c r="B4" s="2" t="s">
        <v>260</v>
      </c>
      <c r="C4" s="2" t="s">
        <v>261</v>
      </c>
      <c r="D4" s="1"/>
      <c r="E4" s="1"/>
      <c r="F4" s="1"/>
      <c r="G4" s="1"/>
      <c r="H4" s="1"/>
      <c r="I4" s="1"/>
    </row>
    <row r="5" spans="1:9" x14ac:dyDescent="0.3">
      <c r="A5" s="3" t="s">
        <v>262</v>
      </c>
      <c r="B5" s="3" t="s">
        <v>263</v>
      </c>
      <c r="C5" s="3" t="s">
        <v>264</v>
      </c>
      <c r="D5" s="1"/>
      <c r="E5" s="1"/>
      <c r="F5" s="1"/>
      <c r="G5" s="1"/>
      <c r="H5" s="1"/>
      <c r="I5" s="1"/>
    </row>
    <row r="6" spans="1:9" x14ac:dyDescent="0.3">
      <c r="A6" s="4" t="s">
        <v>265</v>
      </c>
      <c r="B6" s="4" t="s">
        <v>266</v>
      </c>
      <c r="C6" s="4" t="s">
        <v>267</v>
      </c>
      <c r="D6" s="1"/>
      <c r="E6" s="1"/>
      <c r="F6" s="1"/>
      <c r="G6" s="1"/>
      <c r="H6" s="1"/>
      <c r="I6" s="1"/>
    </row>
    <row r="7" spans="1:9" x14ac:dyDescent="0.3">
      <c r="A7" s="3" t="s">
        <v>268</v>
      </c>
      <c r="B7" s="17">
        <f>'01_Source_Data'!C28</f>
        <v>1845985</v>
      </c>
      <c r="C7" s="3" t="s">
        <v>269</v>
      </c>
      <c r="D7" s="1"/>
      <c r="E7" s="1"/>
      <c r="F7" s="1"/>
      <c r="G7" s="1"/>
      <c r="H7" s="1"/>
      <c r="I7" s="1"/>
    </row>
    <row r="8" spans="1:9" x14ac:dyDescent="0.3">
      <c r="A8" s="4" t="s">
        <v>270</v>
      </c>
      <c r="B8" s="6">
        <f>'01_Source_Data'!E20</f>
        <v>74219</v>
      </c>
      <c r="C8" s="4" t="s">
        <v>271</v>
      </c>
      <c r="D8" s="1"/>
      <c r="E8" s="1"/>
      <c r="F8" s="1"/>
      <c r="G8" s="1"/>
      <c r="H8" s="1"/>
      <c r="I8" s="1"/>
    </row>
    <row r="9" spans="1:9" x14ac:dyDescent="0.3">
      <c r="A9" s="3" t="s">
        <v>272</v>
      </c>
      <c r="B9" s="17">
        <f>'01_Source_Data'!B28</f>
        <v>1369611</v>
      </c>
      <c r="C9" s="3" t="s">
        <v>273</v>
      </c>
      <c r="D9" s="1"/>
      <c r="E9" s="1"/>
      <c r="F9" s="1"/>
      <c r="G9" s="1"/>
      <c r="H9" s="1"/>
      <c r="I9" s="1"/>
    </row>
    <row r="10" spans="1:9" x14ac:dyDescent="0.3">
      <c r="A10" s="4" t="s">
        <v>274</v>
      </c>
      <c r="B10" s="6">
        <f>'01_Source_Data'!C20</f>
        <v>56988</v>
      </c>
      <c r="C10" s="4" t="s">
        <v>275</v>
      </c>
      <c r="D10" s="1"/>
      <c r="E10" s="1"/>
      <c r="F10" s="1"/>
      <c r="G10" s="1"/>
      <c r="H10" s="1"/>
      <c r="I10" s="1"/>
    </row>
    <row r="11" spans="1:9" x14ac:dyDescent="0.3">
      <c r="A11" s="3" t="s">
        <v>276</v>
      </c>
      <c r="B11" s="18">
        <f>((B8-B10)*1000000)/(B7-B9)</f>
        <v>36171.159635076641</v>
      </c>
      <c r="C11" s="3" t="s">
        <v>277</v>
      </c>
      <c r="D11" s="1"/>
      <c r="E11" s="1"/>
      <c r="F11" s="1"/>
      <c r="G11" s="1"/>
      <c r="H11" s="1"/>
      <c r="I11" s="1"/>
    </row>
    <row r="12" spans="1:9" x14ac:dyDescent="0.3">
      <c r="A12" s="4" t="s">
        <v>278</v>
      </c>
      <c r="B12" s="6">
        <f>B8-(B11*B7/1000000)</f>
        <v>7447.5818810430501</v>
      </c>
      <c r="C12" s="4" t="s">
        <v>279</v>
      </c>
      <c r="D12" s="1"/>
      <c r="E12" s="1"/>
      <c r="F12" s="1"/>
      <c r="G12" s="1"/>
      <c r="H12" s="1"/>
      <c r="I12" s="1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">
      <c r="A15" s="2" t="s">
        <v>36</v>
      </c>
      <c r="B15" s="2" t="s">
        <v>280</v>
      </c>
      <c r="C15" s="2" t="s">
        <v>281</v>
      </c>
      <c r="D15" s="2" t="s">
        <v>282</v>
      </c>
      <c r="E15" s="2" t="s">
        <v>283</v>
      </c>
      <c r="F15" s="2" t="s">
        <v>284</v>
      </c>
      <c r="G15" s="2" t="s">
        <v>285</v>
      </c>
      <c r="H15" s="1"/>
      <c r="I15" s="1"/>
    </row>
    <row r="16" spans="1:9" x14ac:dyDescent="0.3">
      <c r="A16" s="4" t="s">
        <v>286</v>
      </c>
      <c r="B16" s="6">
        <f>'01_Source_Data'!H20</f>
        <v>82056</v>
      </c>
      <c r="C16" s="6">
        <f>'01_Source_Data'!I20</f>
        <v>68764</v>
      </c>
      <c r="D16" s="9">
        <f>E16/B16</f>
        <v>0.72638198303597545</v>
      </c>
      <c r="E16" s="13">
        <f>'02_Assumptions_Audit'!F8</f>
        <v>59604</v>
      </c>
      <c r="F16" s="6">
        <f>C16-E16</f>
        <v>9160</v>
      </c>
      <c r="G16" s="4" t="e">
        <f>"Cost = "&amp;TEXT(F16,"$#,##0M")&amp;" + "&amp;TEXT(D16,"0.0%")&amp;" x revenue"</f>
        <v>#VALUE!</v>
      </c>
      <c r="H16" s="1"/>
      <c r="I16" s="1"/>
    </row>
    <row r="17" spans="1:9" x14ac:dyDescent="0.3">
      <c r="A17" s="3" t="s">
        <v>287</v>
      </c>
      <c r="B17" s="5">
        <f>'01_Source_Data'!H21</f>
        <v>12771</v>
      </c>
      <c r="C17" s="5">
        <f>'01_Source_Data'!I21</f>
        <v>8969</v>
      </c>
      <c r="D17" s="8">
        <f>E17/B17</f>
        <v>0.56722261373424165</v>
      </c>
      <c r="E17" s="13">
        <f>'02_Assumptions_Audit'!F9</f>
        <v>7244</v>
      </c>
      <c r="F17" s="5">
        <f>C17-E17</f>
        <v>1725</v>
      </c>
      <c r="G17" s="3" t="e">
        <f>"Cost = "&amp;TEXT(F17,"$#,##0M")&amp;" + "&amp;TEXT(D17,"0.0%")&amp;" x revenue"</f>
        <v>#VALUE!</v>
      </c>
      <c r="H17" s="1"/>
      <c r="I17" s="1"/>
    </row>
    <row r="18" spans="1:9" x14ac:dyDescent="0.3">
      <c r="A18" s="4" t="s">
        <v>288</v>
      </c>
      <c r="B18" s="6">
        <f>B16+B17</f>
        <v>94827</v>
      </c>
      <c r="C18" s="6">
        <f>C16+C17</f>
        <v>77733</v>
      </c>
      <c r="D18" s="9">
        <f>E18/B18</f>
        <v>0.70494690330812959</v>
      </c>
      <c r="E18" s="6">
        <f>E16+E17</f>
        <v>66848</v>
      </c>
      <c r="F18" s="6">
        <f>F16+F17</f>
        <v>10885</v>
      </c>
      <c r="G18" s="4" t="e">
        <f>"Reconciles to COGS "&amp;TEXT(C18,"$#,##0M")</f>
        <v>#VALUE!</v>
      </c>
      <c r="H18" s="1"/>
      <c r="I18" s="1"/>
    </row>
  </sheetData>
  <mergeCells count="2">
    <mergeCell ref="A1:I1"/>
    <mergeCell ref="A2:I2"/>
  </mergeCells>
  <pageMargins left="0.75" right="0.75" top="1" bottom="1" header="0.5" footer="0.5"/>
  <pageSetup fitToHeigh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37B3E"/>
    <pageSetUpPr fitToPage="1"/>
  </sheetPr>
  <dimension ref="A1:H21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6" customWidth="1"/>
    <col min="2" max="2" width="54" customWidth="1"/>
    <col min="3" max="3" width="36" customWidth="1"/>
    <col min="4" max="8" width="10" customWidth="1"/>
  </cols>
  <sheetData>
    <row r="1" spans="1:8" ht="28.05" customHeight="1" x14ac:dyDescent="0.3">
      <c r="A1" s="43" t="s">
        <v>289</v>
      </c>
      <c r="B1" s="44"/>
      <c r="C1" s="44"/>
      <c r="D1" s="44"/>
      <c r="E1" s="44"/>
      <c r="F1" s="44"/>
      <c r="G1" s="44"/>
      <c r="H1" s="44"/>
    </row>
    <row r="2" spans="1:8" ht="24" customHeight="1" x14ac:dyDescent="0.3">
      <c r="A2" s="45" t="s">
        <v>290</v>
      </c>
      <c r="B2" s="44"/>
      <c r="C2" s="44"/>
      <c r="D2" s="44"/>
      <c r="E2" s="44"/>
      <c r="F2" s="44"/>
      <c r="G2" s="44"/>
      <c r="H2" s="4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291</v>
      </c>
      <c r="B4" s="2" t="s">
        <v>260</v>
      </c>
      <c r="C4" s="2" t="s">
        <v>292</v>
      </c>
      <c r="D4" s="1"/>
      <c r="E4" s="1"/>
      <c r="F4" s="1"/>
      <c r="G4" s="1"/>
      <c r="H4" s="1"/>
    </row>
    <row r="5" spans="1:8" x14ac:dyDescent="0.3">
      <c r="A5" s="3" t="s">
        <v>293</v>
      </c>
      <c r="B5" s="5">
        <f>'06_S1_Step4_HighLow'!F16</f>
        <v>9160</v>
      </c>
      <c r="C5" s="3" t="s">
        <v>294</v>
      </c>
      <c r="D5" s="1"/>
      <c r="E5" s="1"/>
      <c r="F5" s="1"/>
      <c r="G5" s="1"/>
      <c r="H5" s="1"/>
    </row>
    <row r="6" spans="1:8" x14ac:dyDescent="0.3">
      <c r="A6" s="4" t="s">
        <v>295</v>
      </c>
      <c r="B6" s="13">
        <f>'06_S1_Step4_HighLow'!C16*'02_Assumptions_Audit'!F5</f>
        <v>41258.400000000001</v>
      </c>
      <c r="C6" s="4" t="s">
        <v>296</v>
      </c>
      <c r="D6" s="1"/>
      <c r="E6" s="1"/>
      <c r="F6" s="1"/>
      <c r="G6" s="1"/>
      <c r="H6" s="1"/>
    </row>
    <row r="7" spans="1:8" x14ac:dyDescent="0.3">
      <c r="A7" s="3" t="s">
        <v>297</v>
      </c>
      <c r="B7" s="13">
        <f>'06_S1_Step4_HighLow'!C16*'02_Assumptions_Audit'!F6</f>
        <v>6876.4000000000005</v>
      </c>
      <c r="C7" s="3" t="s">
        <v>298</v>
      </c>
      <c r="D7" s="1"/>
      <c r="E7" s="1"/>
      <c r="F7" s="1"/>
      <c r="G7" s="1"/>
      <c r="H7" s="1"/>
    </row>
    <row r="8" spans="1:8" x14ac:dyDescent="0.3">
      <c r="A8" s="4" t="s">
        <v>299</v>
      </c>
      <c r="B8" s="6">
        <f>'06_S1_Step4_HighLow'!E16-B6-B7</f>
        <v>11469.199999999997</v>
      </c>
      <c r="C8" s="4" t="s">
        <v>300</v>
      </c>
      <c r="D8" s="1"/>
      <c r="E8" s="1"/>
      <c r="F8" s="1"/>
      <c r="G8" s="1"/>
      <c r="H8" s="1"/>
    </row>
    <row r="9" spans="1:8" x14ac:dyDescent="0.3">
      <c r="A9" s="3" t="s">
        <v>301</v>
      </c>
      <c r="B9" s="5">
        <f>B5+B8</f>
        <v>20629.199999999997</v>
      </c>
      <c r="C9" s="3" t="s">
        <v>302</v>
      </c>
      <c r="D9" s="1"/>
      <c r="E9" s="1"/>
      <c r="F9" s="1"/>
      <c r="G9" s="1"/>
      <c r="H9" s="1"/>
    </row>
    <row r="10" spans="1:8" x14ac:dyDescent="0.3">
      <c r="A10" s="4" t="s">
        <v>266</v>
      </c>
      <c r="B10" s="19">
        <f>'01_Source_Data'!E28</f>
        <v>1654667</v>
      </c>
      <c r="C10" s="4" t="s">
        <v>303</v>
      </c>
      <c r="D10" s="1"/>
      <c r="E10" s="1"/>
      <c r="F10" s="1"/>
      <c r="G10" s="1"/>
      <c r="H10" s="1"/>
    </row>
    <row r="11" spans="1:8" x14ac:dyDescent="0.3">
      <c r="A11" s="3" t="s">
        <v>304</v>
      </c>
      <c r="B11" s="18">
        <f>B9*1000000/B10</f>
        <v>12467.281936486312</v>
      </c>
      <c r="C11" s="3" t="s">
        <v>305</v>
      </c>
      <c r="D11" s="1"/>
      <c r="E11" s="1"/>
      <c r="F11" s="1"/>
      <c r="G11" s="1"/>
      <c r="H11" s="1"/>
    </row>
    <row r="12" spans="1:8" x14ac:dyDescent="0.3">
      <c r="A12" s="4" t="s">
        <v>306</v>
      </c>
      <c r="B12" s="20">
        <f>B5*1000000/B10</f>
        <v>5535.8570636871345</v>
      </c>
      <c r="C12" s="4" t="s">
        <v>307</v>
      </c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2" t="s">
        <v>308</v>
      </c>
      <c r="B15" s="2" t="s">
        <v>309</v>
      </c>
      <c r="C15" s="2" t="s">
        <v>292</v>
      </c>
      <c r="D15" s="1"/>
      <c r="E15" s="1"/>
      <c r="F15" s="1"/>
      <c r="G15" s="1"/>
      <c r="H15" s="1"/>
    </row>
    <row r="16" spans="1:8" x14ac:dyDescent="0.3">
      <c r="A16" s="4" t="s">
        <v>238</v>
      </c>
      <c r="B16" s="20">
        <f>B6*1000000/B10</f>
        <v>24934.563872972627</v>
      </c>
      <c r="C16" s="4" t="s">
        <v>310</v>
      </c>
      <c r="D16" s="1"/>
      <c r="E16" s="1"/>
      <c r="F16" s="1"/>
      <c r="G16" s="1"/>
      <c r="H16" s="1"/>
    </row>
    <row r="17" spans="1:8" x14ac:dyDescent="0.3">
      <c r="A17" s="3" t="s">
        <v>241</v>
      </c>
      <c r="B17" s="18">
        <f>B7*1000000/B10</f>
        <v>4155.7606454954384</v>
      </c>
      <c r="C17" s="3" t="s">
        <v>311</v>
      </c>
      <c r="D17" s="1"/>
      <c r="E17" s="1"/>
      <c r="F17" s="1"/>
      <c r="G17" s="1"/>
      <c r="H17" s="1"/>
    </row>
    <row r="18" spans="1:8" x14ac:dyDescent="0.3">
      <c r="A18" s="4" t="s">
        <v>312</v>
      </c>
      <c r="B18" s="20">
        <f>B8*1000000/B10</f>
        <v>6931.4248727991771</v>
      </c>
      <c r="C18" s="4" t="s">
        <v>313</v>
      </c>
      <c r="D18" s="1"/>
      <c r="E18" s="1"/>
      <c r="F18" s="1"/>
      <c r="G18" s="1"/>
      <c r="H18" s="1"/>
    </row>
    <row r="19" spans="1:8" x14ac:dyDescent="0.3">
      <c r="A19" s="3" t="s">
        <v>250</v>
      </c>
      <c r="B19" s="18">
        <f>B12</f>
        <v>5535.8570636871345</v>
      </c>
      <c r="C19" s="3" t="s">
        <v>307</v>
      </c>
      <c r="D19" s="1"/>
      <c r="E19" s="1"/>
      <c r="F19" s="1"/>
      <c r="G19" s="1"/>
      <c r="H19" s="1"/>
    </row>
    <row r="20" spans="1:8" x14ac:dyDescent="0.3">
      <c r="A20" s="4" t="s">
        <v>314</v>
      </c>
      <c r="B20" s="20">
        <f>B16+B17+B18+B19</f>
        <v>41557.606454954381</v>
      </c>
      <c r="C20" s="4" t="s">
        <v>315</v>
      </c>
      <c r="D20" s="1"/>
      <c r="E20" s="1"/>
      <c r="F20" s="1"/>
      <c r="G20" s="1"/>
      <c r="H20" s="1"/>
    </row>
    <row r="21" spans="1:8" x14ac:dyDescent="0.3">
      <c r="A21" s="3" t="s">
        <v>316</v>
      </c>
      <c r="B21" s="18">
        <f>B20-B19</f>
        <v>36021.749391267243</v>
      </c>
      <c r="C21" s="3" t="s">
        <v>317</v>
      </c>
      <c r="D21" s="1"/>
      <c r="E21" s="1"/>
      <c r="F21" s="1"/>
      <c r="G21" s="1"/>
      <c r="H21" s="1"/>
    </row>
  </sheetData>
  <mergeCells count="2">
    <mergeCell ref="A2:H2"/>
    <mergeCell ref="A1:H1"/>
  </mergeCells>
  <pageMargins left="0.75" right="0.75" top="1" bottom="1" header="0.5" footer="0.5"/>
  <pageSetup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37B3E"/>
    <pageSetUpPr fitToPage="1"/>
  </sheetPr>
  <dimension ref="A1:F14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2" width="58" customWidth="1"/>
    <col min="3" max="3" width="46" customWidth="1"/>
    <col min="4" max="6" width="10" customWidth="1"/>
  </cols>
  <sheetData>
    <row r="1" spans="1:6" ht="28.05" customHeight="1" x14ac:dyDescent="0.3">
      <c r="A1" s="43" t="s">
        <v>318</v>
      </c>
      <c r="B1" s="44"/>
      <c r="C1" s="44"/>
      <c r="D1" s="44"/>
      <c r="E1" s="44"/>
      <c r="F1" s="44"/>
    </row>
    <row r="2" spans="1:6" ht="24" customHeight="1" x14ac:dyDescent="0.3">
      <c r="A2" s="45" t="s">
        <v>319</v>
      </c>
      <c r="B2" s="44"/>
      <c r="C2" s="44"/>
      <c r="D2" s="44"/>
      <c r="E2" s="44"/>
      <c r="F2" s="44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2" t="s">
        <v>14</v>
      </c>
      <c r="B4" s="2" t="s">
        <v>320</v>
      </c>
      <c r="C4" s="2" t="s">
        <v>292</v>
      </c>
      <c r="D4" s="1"/>
      <c r="E4" s="1"/>
      <c r="F4" s="1"/>
    </row>
    <row r="5" spans="1:6" x14ac:dyDescent="0.3">
      <c r="A5" s="3" t="s">
        <v>321</v>
      </c>
      <c r="B5" s="5">
        <f>'01_Source_Data'!C37</f>
        <v>5242</v>
      </c>
      <c r="C5" s="3" t="s">
        <v>322</v>
      </c>
      <c r="D5" s="1"/>
      <c r="E5" s="1"/>
      <c r="F5" s="1"/>
    </row>
    <row r="6" spans="1:6" x14ac:dyDescent="0.3">
      <c r="A6" s="4" t="s">
        <v>323</v>
      </c>
      <c r="B6" s="6">
        <f>B8+B7-B5</f>
        <v>46581</v>
      </c>
      <c r="C6" s="4" t="s">
        <v>324</v>
      </c>
      <c r="D6" s="1"/>
      <c r="E6" s="1"/>
      <c r="F6" s="1"/>
    </row>
    <row r="7" spans="1:6" x14ac:dyDescent="0.3">
      <c r="A7" s="3" t="s">
        <v>325</v>
      </c>
      <c r="B7" s="5">
        <f>'01_Source_Data'!D37</f>
        <v>4522</v>
      </c>
      <c r="C7" s="3" t="s">
        <v>326</v>
      </c>
      <c r="D7" s="1"/>
      <c r="E7" s="1"/>
      <c r="F7" s="1"/>
    </row>
    <row r="8" spans="1:6" x14ac:dyDescent="0.3">
      <c r="A8" s="4" t="s">
        <v>327</v>
      </c>
      <c r="B8" s="13">
        <f>B11*'02_Assumptions_Audit'!F5</f>
        <v>47301</v>
      </c>
      <c r="C8" s="4" t="s">
        <v>328</v>
      </c>
      <c r="D8" s="1"/>
      <c r="E8" s="1"/>
      <c r="F8" s="1"/>
    </row>
    <row r="9" spans="1:6" x14ac:dyDescent="0.3">
      <c r="A9" s="3" t="s">
        <v>241</v>
      </c>
      <c r="B9" s="13">
        <f>B11*'02_Assumptions_Audit'!F6</f>
        <v>7883.5</v>
      </c>
      <c r="C9" s="3" t="s">
        <v>329</v>
      </c>
      <c r="D9" s="1"/>
      <c r="E9" s="1"/>
      <c r="F9" s="1"/>
    </row>
    <row r="10" spans="1:6" x14ac:dyDescent="0.3">
      <c r="A10" s="4" t="s">
        <v>330</v>
      </c>
      <c r="B10" s="6">
        <f>B11-B8-B9</f>
        <v>23650.5</v>
      </c>
      <c r="C10" s="4" t="s">
        <v>331</v>
      </c>
      <c r="D10" s="1"/>
      <c r="E10" s="1"/>
      <c r="F10" s="1"/>
    </row>
    <row r="11" spans="1:6" x14ac:dyDescent="0.3">
      <c r="A11" s="3" t="s">
        <v>332</v>
      </c>
      <c r="B11" s="5">
        <f>B14-B12+B13</f>
        <v>78835</v>
      </c>
      <c r="C11" s="3" t="s">
        <v>333</v>
      </c>
      <c r="D11" s="1"/>
      <c r="E11" s="1"/>
      <c r="F11" s="1"/>
    </row>
    <row r="12" spans="1:6" x14ac:dyDescent="0.3">
      <c r="A12" s="4" t="s">
        <v>334</v>
      </c>
      <c r="B12" s="6">
        <f>'01_Source_Data'!C38</f>
        <v>1532</v>
      </c>
      <c r="C12" s="4" t="s">
        <v>335</v>
      </c>
      <c r="D12" s="1"/>
      <c r="E12" s="1"/>
      <c r="F12" s="1"/>
    </row>
    <row r="13" spans="1:6" x14ac:dyDescent="0.3">
      <c r="A13" s="3" t="s">
        <v>336</v>
      </c>
      <c r="B13" s="5">
        <f>'01_Source_Data'!D38</f>
        <v>1725</v>
      </c>
      <c r="C13" s="3" t="s">
        <v>337</v>
      </c>
      <c r="D13" s="1"/>
      <c r="E13" s="1"/>
      <c r="F13" s="1"/>
    </row>
    <row r="14" spans="1:6" x14ac:dyDescent="0.3">
      <c r="A14" s="4" t="s">
        <v>338</v>
      </c>
      <c r="B14" s="6">
        <f>'03_S1_Step1_IS'!E8+'01_Source_Data'!D39-'01_Source_Data'!C39</f>
        <v>78642</v>
      </c>
      <c r="C14" s="4" t="s">
        <v>339</v>
      </c>
      <c r="D14" s="1"/>
      <c r="E14" s="1"/>
      <c r="F14" s="1"/>
    </row>
  </sheetData>
  <mergeCells count="2">
    <mergeCell ref="A2:F2"/>
    <mergeCell ref="A1:F1"/>
  </mergeCells>
  <pageMargins left="0.75" right="0.75" top="1" bottom="1" header="0.5" footer="0.5"/>
  <pageSetup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00_Cover</vt:lpstr>
      <vt:lpstr>01_Source_Data</vt:lpstr>
      <vt:lpstr>02_Assumptions_Audit</vt:lpstr>
      <vt:lpstr>03_S1_Step1_IS</vt:lpstr>
      <vt:lpstr>04_S1_Step2_Vertical</vt:lpstr>
      <vt:lpstr>05_S1_Step3_CostClass</vt:lpstr>
      <vt:lpstr>06_S1_Step4_HighLow</vt:lpstr>
      <vt:lpstr>07_S1_Step5_UnitCost</vt:lpstr>
      <vt:lpstr>08_S1_Step6_COGM</vt:lpstr>
      <vt:lpstr>09_S1_Step7_COGS</vt:lpstr>
      <vt:lpstr>10_S1_Step8_AbsVar</vt:lpstr>
      <vt:lpstr>11_S1_Step9_Contribution</vt:lpstr>
      <vt:lpstr>12_S2_Step1_BEP</vt:lpstr>
      <vt:lpstr>13_S2_Step2_MoS</vt:lpstr>
      <vt:lpstr>14_S2_Step3_DOL</vt:lpstr>
      <vt:lpstr>15_S2_Step4_WACM</vt:lpstr>
      <vt:lpstr>16_S2_Step5_BudgetTypes</vt:lpstr>
      <vt:lpstr>17_S2_Step6_BudgetSeq</vt:lpstr>
      <vt:lpstr>18_S2_Step7_Assumptions</vt:lpstr>
      <vt:lpstr>19_Cross_Step_Checks</vt:lpstr>
      <vt:lpstr>20_Workbook_Audit</vt:lpstr>
      <vt:lpstr>21_References</vt:lpstr>
      <vt:lpstr>22_S3_Assumptions</vt:lpstr>
      <vt:lpstr>23_S3_Step1_Sales</vt:lpstr>
      <vt:lpstr>24_S3_Step2_Production</vt:lpstr>
      <vt:lpstr>25_S3_Step3_Materials</vt:lpstr>
      <vt:lpstr>26_S3_Step4_Labour</vt:lpstr>
      <vt:lpstr>27_S3_Step5_MOH</vt:lpstr>
      <vt:lpstr>28_S3_Step6_COGS</vt:lpstr>
      <vt:lpstr>29_S3_Step7_PnL</vt:lpstr>
      <vt:lpstr>30_S3_Step8_Variance</vt:lpstr>
      <vt:lpstr>31_S3_Checks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Elshimi, Noor M</cp:lastModifiedBy>
  <dcterms:created xsi:type="dcterms:W3CDTF">2026-06-12T15:33:59Z</dcterms:created>
  <dcterms:modified xsi:type="dcterms:W3CDTF">2026-06-13T19:17:50Z</dcterms:modified>
</cp:coreProperties>
</file>