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armoor\Downloads\"/>
    </mc:Choice>
  </mc:AlternateContent>
  <xr:revisionPtr revIDLastSave="0" documentId="13_ncr:1_{D40B628D-6844-42B8-9A8D-749DE87E19DF}" xr6:coauthVersionLast="47" xr6:coauthVersionMax="47" xr10:uidLastSave="{00000000-0000-0000-0000-000000000000}"/>
  <bookViews>
    <workbookView xWindow="1920" yWindow="1920" windowWidth="23040" windowHeight="12204" xr2:uid="{00000000-000D-0000-FFFF-FFFF00000000}"/>
  </bookViews>
  <sheets>
    <sheet name="Inputs" sheetId="1" r:id="rId1"/>
    <sheet name="Operating Budget" sheetId="2" r:id="rId2"/>
    <sheet name="Variance Analysis" sheetId="3" r:id="rId3"/>
    <sheet name="Capital Appraisal" sheetId="4" r:id="rId4"/>
    <sheet name="Statements" sheetId="5" r:id="rId5"/>
  </sheets>
  <calcPr calcId="181029" forceFullCalc="1"/>
</workbook>
</file>

<file path=xl/calcChain.xml><?xml version="1.0" encoding="utf-8"?>
<calcChain xmlns="http://schemas.openxmlformats.org/spreadsheetml/2006/main">
  <c r="B44" i="5" l="1"/>
  <c r="D42" i="5"/>
  <c r="C42" i="5"/>
  <c r="B42" i="5"/>
  <c r="D33" i="5"/>
  <c r="C33" i="5"/>
  <c r="B33" i="5"/>
  <c r="J18" i="5"/>
  <c r="H18" i="5"/>
  <c r="F18" i="5"/>
  <c r="D18" i="5"/>
  <c r="C18" i="5"/>
  <c r="D46" i="5" s="1"/>
  <c r="J17" i="5"/>
  <c r="H17" i="5"/>
  <c r="C36" i="5" s="1"/>
  <c r="F17" i="5"/>
  <c r="D17" i="5"/>
  <c r="C35" i="5" s="1"/>
  <c r="C17" i="5"/>
  <c r="J16" i="5"/>
  <c r="H16" i="5"/>
  <c r="F16" i="5"/>
  <c r="D16" i="5"/>
  <c r="B35" i="5" s="1"/>
  <c r="C16" i="5"/>
  <c r="B46" i="5" s="1"/>
  <c r="M12" i="5"/>
  <c r="D40" i="5" s="1"/>
  <c r="L12" i="5"/>
  <c r="D39" i="5" s="1"/>
  <c r="I12" i="5"/>
  <c r="G12" i="5"/>
  <c r="F12" i="5"/>
  <c r="M11" i="5"/>
  <c r="C40" i="5" s="1"/>
  <c r="I11" i="5"/>
  <c r="G11" i="5"/>
  <c r="F11" i="5"/>
  <c r="M10" i="5"/>
  <c r="B40" i="5" s="1"/>
  <c r="L10" i="5"/>
  <c r="E16" i="5" s="1"/>
  <c r="I10" i="5"/>
  <c r="G10" i="5"/>
  <c r="F10" i="5"/>
  <c r="C10" i="5"/>
  <c r="K6" i="5"/>
  <c r="I6" i="5"/>
  <c r="G6" i="5"/>
  <c r="F6" i="5"/>
  <c r="E6" i="5"/>
  <c r="K5" i="5"/>
  <c r="I5" i="5"/>
  <c r="G5" i="5"/>
  <c r="F5" i="5"/>
  <c r="E5" i="5"/>
  <c r="M4" i="5"/>
  <c r="J10" i="5" s="1"/>
  <c r="K4" i="5"/>
  <c r="I4" i="5"/>
  <c r="G4" i="5"/>
  <c r="F4" i="5"/>
  <c r="E4" i="5"/>
  <c r="B29" i="4"/>
  <c r="C29" i="4" s="1"/>
  <c r="B28" i="4"/>
  <c r="C28" i="4" s="1"/>
  <c r="B26" i="4"/>
  <c r="C26" i="4" s="1"/>
  <c r="A23" i="4"/>
  <c r="A22" i="4"/>
  <c r="A21" i="4"/>
  <c r="G10" i="4"/>
  <c r="F10" i="4"/>
  <c r="C10" i="4"/>
  <c r="G9" i="4"/>
  <c r="F9" i="4"/>
  <c r="C9" i="4"/>
  <c r="G8" i="4"/>
  <c r="F8" i="4"/>
  <c r="C8" i="4"/>
  <c r="G7" i="4"/>
  <c r="F7" i="4"/>
  <c r="C7" i="4"/>
  <c r="G6" i="4"/>
  <c r="F6" i="4"/>
  <c r="C6" i="4"/>
  <c r="J5" i="4"/>
  <c r="K4" i="4"/>
  <c r="J4" i="4"/>
  <c r="C23" i="1" s="1"/>
  <c r="L11" i="5" s="1"/>
  <c r="C43" i="3"/>
  <c r="B43" i="3"/>
  <c r="B15" i="3"/>
  <c r="D43" i="3" s="1"/>
  <c r="B14" i="3"/>
  <c r="B13" i="3"/>
  <c r="D41" i="3" s="1"/>
  <c r="B12" i="3"/>
  <c r="B11" i="3"/>
  <c r="B10" i="3"/>
  <c r="B9" i="3"/>
  <c r="B8" i="3"/>
  <c r="B7" i="3"/>
  <c r="B5" i="3"/>
  <c r="C35" i="3" s="1"/>
  <c r="C38" i="3" s="1"/>
  <c r="V15" i="2"/>
  <c r="H15" i="2"/>
  <c r="C15" i="2"/>
  <c r="C14" i="2"/>
  <c r="D14" i="2" s="1"/>
  <c r="R14" i="2" s="1"/>
  <c r="N13" i="2"/>
  <c r="C13" i="2"/>
  <c r="D13" i="2" s="1"/>
  <c r="R13" i="2" s="1"/>
  <c r="N12" i="2"/>
  <c r="C12" i="2"/>
  <c r="D12" i="2" s="1"/>
  <c r="C11" i="2"/>
  <c r="C10" i="2"/>
  <c r="D10" i="2" s="1"/>
  <c r="N9" i="2"/>
  <c r="C9" i="2"/>
  <c r="D9" i="2" s="1"/>
  <c r="C8" i="2"/>
  <c r="D8" i="2" s="1"/>
  <c r="R8" i="2" s="1"/>
  <c r="C7" i="2"/>
  <c r="N6" i="2"/>
  <c r="C6" i="2"/>
  <c r="D6" i="2" s="1"/>
  <c r="C5" i="2"/>
  <c r="D5" i="2" s="1"/>
  <c r="N4" i="2"/>
  <c r="C4" i="2"/>
  <c r="D4" i="2" s="1"/>
  <c r="R4" i="2" s="1"/>
  <c r="D118" i="1"/>
  <c r="C118" i="1"/>
  <c r="D117" i="1"/>
  <c r="D8" i="1" s="1"/>
  <c r="C117" i="1"/>
  <c r="C8" i="1" s="1"/>
  <c r="D116" i="1"/>
  <c r="C116" i="1"/>
  <c r="C11" i="5" s="1"/>
  <c r="D103" i="1"/>
  <c r="C103" i="1"/>
  <c r="B103" i="1"/>
  <c r="D100" i="1"/>
  <c r="C100" i="1"/>
  <c r="C71" i="1" s="1"/>
  <c r="C72" i="1" s="1"/>
  <c r="B100" i="1"/>
  <c r="B71" i="1" s="1"/>
  <c r="B72" i="1" s="1"/>
  <c r="B77" i="1"/>
  <c r="J4" i="5" s="1"/>
  <c r="H10" i="5" s="1"/>
  <c r="C75" i="1"/>
  <c r="C74" i="1"/>
  <c r="C73" i="1"/>
  <c r="D71" i="1"/>
  <c r="D72" i="1" s="1"/>
  <c r="D73" i="1" s="1"/>
  <c r="B55" i="1"/>
  <c r="B31" i="4" s="1"/>
  <c r="C31" i="4" s="1"/>
  <c r="D10" i="1"/>
  <c r="C10" i="1"/>
  <c r="N8" i="2" s="1"/>
  <c r="B10" i="1"/>
  <c r="N5" i="2" s="1"/>
  <c r="B8" i="1"/>
  <c r="B7" i="1"/>
  <c r="D5" i="1"/>
  <c r="E13" i="2" s="1"/>
  <c r="C5" i="1"/>
  <c r="C70" i="1" s="1"/>
  <c r="B5" i="1"/>
  <c r="E6" i="2" s="1"/>
  <c r="N10" i="2" l="1"/>
  <c r="N11" i="2"/>
  <c r="D15" i="2"/>
  <c r="B26" i="3"/>
  <c r="B28" i="3"/>
  <c r="D36" i="5"/>
  <c r="B30" i="3"/>
  <c r="D35" i="5"/>
  <c r="N7" i="2"/>
  <c r="B27" i="3"/>
  <c r="B27" i="4"/>
  <c r="C27" i="4" s="1"/>
  <c r="D70" i="1"/>
  <c r="B74" i="1"/>
  <c r="B73" i="1"/>
  <c r="B75" i="1"/>
  <c r="F10" i="2"/>
  <c r="R10" i="2"/>
  <c r="R5" i="2"/>
  <c r="E9" i="2"/>
  <c r="F9" i="2" s="1"/>
  <c r="E10" i="2"/>
  <c r="M4" i="4"/>
  <c r="M5" i="4" s="1"/>
  <c r="L4" i="4"/>
  <c r="N4" i="4" s="1"/>
  <c r="D38" i="3"/>
  <c r="C42" i="3"/>
  <c r="C39" i="3"/>
  <c r="C12" i="5"/>
  <c r="D7" i="1"/>
  <c r="C7" i="1"/>
  <c r="D74" i="1"/>
  <c r="D39" i="3"/>
  <c r="D36" i="3"/>
  <c r="B22" i="3"/>
  <c r="B4" i="3"/>
  <c r="B35" i="3" s="1"/>
  <c r="G4" i="2"/>
  <c r="E17" i="5"/>
  <c r="E18" i="5" s="1"/>
  <c r="E5" i="2"/>
  <c r="F5" i="2" s="1"/>
  <c r="B25" i="3"/>
  <c r="D40" i="3"/>
  <c r="F6" i="2"/>
  <c r="R12" i="2"/>
  <c r="E15" i="2"/>
  <c r="F15" i="2" s="1"/>
  <c r="K8" i="4"/>
  <c r="D75" i="1"/>
  <c r="R15" i="2"/>
  <c r="R9" i="2"/>
  <c r="D11" i="2"/>
  <c r="E12" i="2"/>
  <c r="F12" i="2" s="1"/>
  <c r="B36" i="5"/>
  <c r="E11" i="2"/>
  <c r="F13" i="2"/>
  <c r="E14" i="2"/>
  <c r="F14" i="2" s="1"/>
  <c r="N14" i="2"/>
  <c r="N15" i="2"/>
  <c r="E8" i="2"/>
  <c r="K9" i="4"/>
  <c r="K5" i="4"/>
  <c r="L5" i="4" s="1"/>
  <c r="K10" i="4"/>
  <c r="K6" i="4"/>
  <c r="K7" i="4"/>
  <c r="D42" i="3"/>
  <c r="E4" i="2"/>
  <c r="B6" i="3" s="1"/>
  <c r="B24" i="3" s="1"/>
  <c r="B27" i="5"/>
  <c r="C27" i="5" s="1"/>
  <c r="C39" i="5"/>
  <c r="D7" i="2"/>
  <c r="B70" i="1"/>
  <c r="E7" i="2"/>
  <c r="H14" i="2"/>
  <c r="C46" i="5"/>
  <c r="D34" i="5"/>
  <c r="C34" i="5"/>
  <c r="C37" i="5" s="1"/>
  <c r="B39" i="5"/>
  <c r="B34" i="5"/>
  <c r="D35" i="3"/>
  <c r="B41" i="3"/>
  <c r="C41" i="3"/>
  <c r="R6" i="2"/>
  <c r="B37" i="5" l="1"/>
  <c r="D37" i="5"/>
  <c r="D37" i="3"/>
  <c r="B30" i="4"/>
  <c r="C30" i="4" s="1"/>
  <c r="F4" i="2"/>
  <c r="B20" i="2"/>
  <c r="B6" i="5" s="1"/>
  <c r="G15" i="2"/>
  <c r="H13" i="2"/>
  <c r="F11" i="2"/>
  <c r="R11" i="2"/>
  <c r="D19" i="2" s="1"/>
  <c r="F7" i="2"/>
  <c r="B18" i="2" s="1"/>
  <c r="B4" i="5" s="1"/>
  <c r="R7" i="2"/>
  <c r="D18" i="2" s="1"/>
  <c r="D44" i="3"/>
  <c r="D45" i="3" s="1"/>
  <c r="C36" i="3"/>
  <c r="C37" i="3" s="1"/>
  <c r="B36" i="3"/>
  <c r="B37" i="3"/>
  <c r="B42" i="3"/>
  <c r="B38" i="3"/>
  <c r="B39" i="3"/>
  <c r="F8" i="2"/>
  <c r="N5" i="4"/>
  <c r="D20" i="2"/>
  <c r="B54" i="5" l="1"/>
  <c r="B10" i="5"/>
  <c r="B12" i="5"/>
  <c r="D54" i="5"/>
  <c r="I15" i="2"/>
  <c r="G14" i="2"/>
  <c r="H12" i="2"/>
  <c r="B19" i="2"/>
  <c r="B5" i="5" s="1"/>
  <c r="B25" i="5" s="1"/>
  <c r="C25" i="5" s="1"/>
  <c r="I14" i="2" l="1"/>
  <c r="K15" i="2"/>
  <c r="V14" i="2"/>
  <c r="U15" i="2" s="1"/>
  <c r="W15" i="2" s="1"/>
  <c r="X15" i="2" s="1"/>
  <c r="J15" i="2"/>
  <c r="G13" i="2"/>
  <c r="H11" i="2"/>
  <c r="B11" i="5"/>
  <c r="C54" i="5"/>
  <c r="E54" i="5" s="1"/>
  <c r="G12" i="2" l="1"/>
  <c r="H10" i="2"/>
  <c r="K14" i="2"/>
  <c r="V13" i="2"/>
  <c r="U14" i="2" s="1"/>
  <c r="W14" i="2" s="1"/>
  <c r="X14" i="2" s="1"/>
  <c r="J14" i="2"/>
  <c r="I13" i="2"/>
  <c r="T15" i="2"/>
  <c r="AC15" i="2" s="1"/>
  <c r="B111" i="1" s="1"/>
  <c r="L15" i="2"/>
  <c r="L14" i="2" l="1"/>
  <c r="T14" i="2"/>
  <c r="AC14" i="2" s="1"/>
  <c r="K13" i="2"/>
  <c r="J13" i="2"/>
  <c r="V12" i="2"/>
  <c r="U13" i="2" s="1"/>
  <c r="W13" i="2" s="1"/>
  <c r="X13" i="2" s="1"/>
  <c r="G11" i="2"/>
  <c r="H9" i="2"/>
  <c r="I12" i="2"/>
  <c r="V11" i="2" l="1"/>
  <c r="U12" i="2" s="1"/>
  <c r="W12" i="2" s="1"/>
  <c r="X12" i="2" s="1"/>
  <c r="J20" i="2" s="1"/>
  <c r="J12" i="2"/>
  <c r="K12" i="2"/>
  <c r="F20" i="2" s="1"/>
  <c r="D9" i="1"/>
  <c r="T13" i="2"/>
  <c r="AC13" i="2" s="1"/>
  <c r="L13" i="2"/>
  <c r="G10" i="2"/>
  <c r="H8" i="2"/>
  <c r="I11" i="2"/>
  <c r="K11" i="2" l="1"/>
  <c r="V10" i="2"/>
  <c r="U11" i="2" s="1"/>
  <c r="W11" i="2" s="1"/>
  <c r="X11" i="2" s="1"/>
  <c r="J11" i="2"/>
  <c r="M15" i="2"/>
  <c r="O15" i="2" s="1"/>
  <c r="M14" i="2"/>
  <c r="O14" i="2" s="1"/>
  <c r="G9" i="2"/>
  <c r="H7" i="2"/>
  <c r="I10" i="2"/>
  <c r="M13" i="2"/>
  <c r="O13" i="2" s="1"/>
  <c r="T12" i="2"/>
  <c r="L12" i="2"/>
  <c r="G20" i="2" s="1"/>
  <c r="D12" i="5" s="1"/>
  <c r="M12" i="2"/>
  <c r="J10" i="2" l="1"/>
  <c r="K10" i="2"/>
  <c r="V9" i="2"/>
  <c r="U10" i="2" s="1"/>
  <c r="W10" i="2" s="1"/>
  <c r="X10" i="2" s="1"/>
  <c r="I9" i="2"/>
  <c r="L11" i="2"/>
  <c r="T11" i="2"/>
  <c r="AC11" i="2" s="1"/>
  <c r="G8" i="2"/>
  <c r="H6" i="2"/>
  <c r="I20" i="2"/>
  <c r="AC12" i="2"/>
  <c r="M20" i="2" s="1"/>
  <c r="O12" i="2"/>
  <c r="H20" i="2" s="1"/>
  <c r="E12" i="5" s="1"/>
  <c r="P14" i="2"/>
  <c r="P13" i="2"/>
  <c r="P15" i="2"/>
  <c r="P12" i="2"/>
  <c r="I8" i="2" l="1"/>
  <c r="Q12" i="2"/>
  <c r="AA12" i="2"/>
  <c r="Z12" i="2"/>
  <c r="Y12" i="2"/>
  <c r="AA15" i="2"/>
  <c r="Q15" i="2"/>
  <c r="S15" i="2" s="1"/>
  <c r="Z15" i="2"/>
  <c r="Y15" i="2"/>
  <c r="Q14" i="2"/>
  <c r="S14" i="2" s="1"/>
  <c r="AA14" i="2"/>
  <c r="Z14" i="2"/>
  <c r="Y14" i="2"/>
  <c r="G7" i="2"/>
  <c r="H5" i="2"/>
  <c r="J9" i="2"/>
  <c r="V8" i="2"/>
  <c r="U9" i="2" s="1"/>
  <c r="W9" i="2" s="1"/>
  <c r="X9" i="2" s="1"/>
  <c r="K9" i="2"/>
  <c r="Q13" i="2"/>
  <c r="S13" i="2" s="1"/>
  <c r="AA13" i="2"/>
  <c r="Z13" i="2"/>
  <c r="Y13" i="2"/>
  <c r="L10" i="2"/>
  <c r="T10" i="2"/>
  <c r="AC10" i="2" s="1"/>
  <c r="AB15" i="2" l="1"/>
  <c r="K20" i="2"/>
  <c r="AB14" i="2"/>
  <c r="C20" i="2"/>
  <c r="C6" i="5" s="1"/>
  <c r="S12" i="2"/>
  <c r="E20" i="2" s="1"/>
  <c r="AB13" i="2"/>
  <c r="AB12" i="2"/>
  <c r="L20" i="2" s="1"/>
  <c r="T9" i="2"/>
  <c r="AC9" i="2" s="1"/>
  <c r="L9" i="2"/>
  <c r="K8" i="2"/>
  <c r="F19" i="2" s="1"/>
  <c r="V7" i="2"/>
  <c r="U8" i="2" s="1"/>
  <c r="W8" i="2" s="1"/>
  <c r="X8" i="2" s="1"/>
  <c r="J19" i="2" s="1"/>
  <c r="J8" i="2"/>
  <c r="C9" i="1"/>
  <c r="I7" i="2"/>
  <c r="G6" i="2"/>
  <c r="H4" i="2"/>
  <c r="G5" i="2" l="1"/>
  <c r="I4" i="2"/>
  <c r="D8" i="4"/>
  <c r="E8" i="4" s="1"/>
  <c r="H8" i="4" s="1"/>
  <c r="D10" i="4"/>
  <c r="E10" i="4" s="1"/>
  <c r="H10" i="4" s="1"/>
  <c r="D6" i="4"/>
  <c r="E6" i="4" s="1"/>
  <c r="H6" i="4" s="1"/>
  <c r="D9" i="4"/>
  <c r="E9" i="4" s="1"/>
  <c r="H9" i="4" s="1"/>
  <c r="D7" i="4"/>
  <c r="E7" i="4" s="1"/>
  <c r="H7" i="4" s="1"/>
  <c r="M11" i="2"/>
  <c r="O11" i="2" s="1"/>
  <c r="M10" i="2"/>
  <c r="O10" i="2" s="1"/>
  <c r="D55" i="5"/>
  <c r="D6" i="5"/>
  <c r="H6" i="5" s="1"/>
  <c r="M8" i="2"/>
  <c r="L8" i="2"/>
  <c r="G19" i="2" s="1"/>
  <c r="D11" i="5" s="1"/>
  <c r="T8" i="2"/>
  <c r="M9" i="2"/>
  <c r="O9" i="2" s="1"/>
  <c r="I6" i="2"/>
  <c r="K7" i="2"/>
  <c r="V6" i="2"/>
  <c r="U7" i="2" s="1"/>
  <c r="J7" i="2"/>
  <c r="W7" i="2"/>
  <c r="X7" i="2" s="1"/>
  <c r="I19" i="2" l="1"/>
  <c r="AC8" i="2"/>
  <c r="M19" i="2" s="1"/>
  <c r="I7" i="4"/>
  <c r="J7" i="4"/>
  <c r="L7" i="4" s="1"/>
  <c r="T7" i="2"/>
  <c r="AC7" i="2" s="1"/>
  <c r="L7" i="2"/>
  <c r="O8" i="2"/>
  <c r="H19" i="2" s="1"/>
  <c r="E11" i="5" s="1"/>
  <c r="P8" i="2"/>
  <c r="P10" i="2"/>
  <c r="P9" i="2"/>
  <c r="P11" i="2"/>
  <c r="I10" i="4"/>
  <c r="J10" i="4" s="1"/>
  <c r="L10" i="4" s="1"/>
  <c r="I6" i="4"/>
  <c r="J6" i="4" s="1"/>
  <c r="I5" i="2"/>
  <c r="B9" i="1" s="1"/>
  <c r="I9" i="4"/>
  <c r="J9" i="4"/>
  <c r="L9" i="4" s="1"/>
  <c r="I8" i="4"/>
  <c r="J8" i="4" s="1"/>
  <c r="K4" i="2"/>
  <c r="U4" i="2"/>
  <c r="J4" i="2"/>
  <c r="J6" i="2"/>
  <c r="K6" i="2"/>
  <c r="V5" i="2"/>
  <c r="U6" i="2" s="1"/>
  <c r="W6" i="2" s="1"/>
  <c r="X6" i="2" s="1"/>
  <c r="B19" i="3" l="1"/>
  <c r="C23" i="4"/>
  <c r="L6" i="4"/>
  <c r="N6" i="4" s="1"/>
  <c r="N7" i="4" s="1"/>
  <c r="D21" i="4"/>
  <c r="B22" i="4"/>
  <c r="B15" i="4"/>
  <c r="C22" i="4"/>
  <c r="D23" i="4"/>
  <c r="D22" i="4"/>
  <c r="C21" i="4"/>
  <c r="B21" i="4"/>
  <c r="B14" i="4"/>
  <c r="B23" i="4"/>
  <c r="M6" i="4"/>
  <c r="M7" i="4" s="1"/>
  <c r="M8" i="4" s="1"/>
  <c r="M9" i="4" s="1"/>
  <c r="M10" i="4" s="1"/>
  <c r="L8" i="4"/>
  <c r="B16" i="4"/>
  <c r="L4" i="2"/>
  <c r="T4" i="2"/>
  <c r="M4" i="2"/>
  <c r="B29" i="3"/>
  <c r="C40" i="3"/>
  <c r="C44" i="3" s="1"/>
  <c r="B40" i="3"/>
  <c r="B44" i="3" s="1"/>
  <c r="B21" i="3"/>
  <c r="Q10" i="2"/>
  <c r="S10" i="2" s="1"/>
  <c r="AA10" i="2"/>
  <c r="Z10" i="2"/>
  <c r="Y10" i="2"/>
  <c r="K5" i="2"/>
  <c r="J5" i="2"/>
  <c r="V4" i="2"/>
  <c r="B17" i="4"/>
  <c r="Q11" i="2"/>
  <c r="S11" i="2" s="1"/>
  <c r="AA11" i="2"/>
  <c r="Z11" i="2"/>
  <c r="Y11" i="2"/>
  <c r="Q8" i="2"/>
  <c r="AA8" i="2"/>
  <c r="Z8" i="2"/>
  <c r="Y8" i="2"/>
  <c r="T6" i="2"/>
  <c r="AC6" i="2" s="1"/>
  <c r="M6" i="2"/>
  <c r="O6" i="2" s="1"/>
  <c r="L6" i="2"/>
  <c r="Q9" i="2"/>
  <c r="S9" i="2" s="1"/>
  <c r="AA9" i="2"/>
  <c r="Z9" i="2"/>
  <c r="Y9" i="2"/>
  <c r="F18" i="2"/>
  <c r="M7" i="2"/>
  <c r="O7" i="2" s="1"/>
  <c r="U5" i="2" l="1"/>
  <c r="W5" i="2" s="1"/>
  <c r="X5" i="2" s="1"/>
  <c r="W4" i="2"/>
  <c r="X4" i="2" s="1"/>
  <c r="J18" i="2" s="1"/>
  <c r="M5" i="2"/>
  <c r="O5" i="2" s="1"/>
  <c r="L5" i="2"/>
  <c r="G18" i="2" s="1"/>
  <c r="D10" i="5" s="1"/>
  <c r="T5" i="2"/>
  <c r="AC5" i="2" s="1"/>
  <c r="AB11" i="2"/>
  <c r="K19" i="2"/>
  <c r="C19" i="2"/>
  <c r="C5" i="5" s="1"/>
  <c r="S8" i="2"/>
  <c r="E19" i="2" s="1"/>
  <c r="O4" i="2"/>
  <c r="H18" i="2" s="1"/>
  <c r="E10" i="5" s="1"/>
  <c r="P4" i="2"/>
  <c r="P6" i="2"/>
  <c r="P5" i="2"/>
  <c r="N8" i="4"/>
  <c r="N9" i="4" s="1"/>
  <c r="N10" i="4" s="1"/>
  <c r="B23" i="5" s="1"/>
  <c r="C23" i="5" s="1"/>
  <c r="AB9" i="2"/>
  <c r="AB10" i="2"/>
  <c r="AB8" i="2"/>
  <c r="C45" i="3"/>
  <c r="I18" i="2"/>
  <c r="AC4" i="2"/>
  <c r="K10" i="5" l="1"/>
  <c r="L19" i="2"/>
  <c r="N10" i="5"/>
  <c r="Q5" i="2"/>
  <c r="S5" i="2" s="1"/>
  <c r="AA5" i="2"/>
  <c r="Z5" i="2"/>
  <c r="Y5" i="2"/>
  <c r="C55" i="5"/>
  <c r="D5" i="5"/>
  <c r="H5" i="5" s="1"/>
  <c r="Q6" i="2"/>
  <c r="S6" i="2" s="1"/>
  <c r="AA6" i="2"/>
  <c r="Z6" i="2"/>
  <c r="Y6" i="2"/>
  <c r="Q4" i="2"/>
  <c r="Z4" i="2"/>
  <c r="AA4" i="2"/>
  <c r="Y4" i="2"/>
  <c r="B110" i="1"/>
  <c r="M18" i="2"/>
  <c r="P7" i="2"/>
  <c r="AB6" i="2" l="1"/>
  <c r="S4" i="2"/>
  <c r="AB4" i="2"/>
  <c r="Q7" i="2"/>
  <c r="S7" i="2" s="1"/>
  <c r="AA7" i="2"/>
  <c r="Z7" i="2"/>
  <c r="Y7" i="2"/>
  <c r="AB5" i="2"/>
  <c r="B41" i="5"/>
  <c r="I16" i="5"/>
  <c r="K18" i="2"/>
  <c r="O10" i="5"/>
  <c r="C77" i="1" l="1"/>
  <c r="J5" i="5" s="1"/>
  <c r="B16" i="5"/>
  <c r="AB7" i="2"/>
  <c r="L18" i="2" s="1"/>
  <c r="C18" i="2"/>
  <c r="C4" i="5" s="1"/>
  <c r="E18" i="2"/>
  <c r="B18" i="3"/>
  <c r="B20" i="3" s="1"/>
  <c r="H11" i="5" l="1"/>
  <c r="L5" i="5"/>
  <c r="B45" i="3"/>
  <c r="B23" i="3"/>
  <c r="B31" i="3" s="1"/>
  <c r="B55" i="5"/>
  <c r="E55" i="5" s="1"/>
  <c r="B26" i="5"/>
  <c r="C26" i="5" s="1"/>
  <c r="D4" i="5"/>
  <c r="H4" i="5" s="1"/>
  <c r="L4" i="5" s="1"/>
  <c r="G16" i="5"/>
  <c r="N4" i="5" l="1"/>
  <c r="M5" i="5"/>
  <c r="J11" i="5" s="1"/>
  <c r="K11" i="5" s="1"/>
  <c r="N11" i="5" l="1"/>
  <c r="N5" i="5"/>
  <c r="C32" i="5" s="1"/>
  <c r="C38" i="5" s="1"/>
  <c r="B32" i="5"/>
  <c r="B38" i="5" s="1"/>
  <c r="K16" i="5"/>
  <c r="B22" i="5"/>
  <c r="C22" i="5" s="1"/>
  <c r="B43" i="5" l="1"/>
  <c r="B45" i="5" s="1"/>
  <c r="B49" i="5"/>
  <c r="C41" i="5"/>
  <c r="I17" i="5"/>
  <c r="K17" i="5"/>
  <c r="L16" i="5"/>
  <c r="M16" i="5" s="1"/>
  <c r="C43" i="5"/>
  <c r="O11" i="5"/>
  <c r="C49" i="5"/>
  <c r="B17" i="5" l="1"/>
  <c r="B56" i="5"/>
  <c r="D77" i="1"/>
  <c r="J6" i="5" s="1"/>
  <c r="L17" i="5"/>
  <c r="C44" i="5"/>
  <c r="C45" i="5" s="1"/>
  <c r="D44" i="5" s="1"/>
  <c r="B50" i="5"/>
  <c r="B51" i="5"/>
  <c r="H12" i="5" l="1"/>
  <c r="L6" i="5"/>
  <c r="G17" i="5"/>
  <c r="M17" i="5" s="1"/>
  <c r="C51" i="5"/>
  <c r="C50" i="5"/>
  <c r="C56" i="5" l="1"/>
  <c r="M6" i="5"/>
  <c r="J12" i="5" s="1"/>
  <c r="K12" i="5" s="1"/>
  <c r="N12" i="5" l="1"/>
  <c r="N6" i="5"/>
  <c r="D41" i="5" l="1"/>
  <c r="I18" i="5"/>
  <c r="D32" i="5"/>
  <c r="D38" i="5" s="1"/>
  <c r="K18" i="5"/>
  <c r="O12" i="5"/>
  <c r="B18" i="5" l="1"/>
  <c r="D43" i="5"/>
  <c r="D45" i="5" s="1"/>
  <c r="D50" i="5" s="1"/>
  <c r="E50" i="5" s="1"/>
  <c r="D49" i="5"/>
  <c r="E49" i="5" s="1"/>
  <c r="L18" i="5"/>
  <c r="G18" i="5" l="1"/>
  <c r="M18" i="5" s="1"/>
  <c r="D51" i="5"/>
  <c r="E51" i="5" s="1"/>
  <c r="D56" i="5" l="1"/>
  <c r="E56" i="5" s="1"/>
  <c r="B24" i="5"/>
  <c r="C24" i="5" s="1"/>
</calcChain>
</file>

<file path=xl/sharedStrings.xml><?xml version="1.0" encoding="utf-8"?>
<sst xmlns="http://schemas.openxmlformats.org/spreadsheetml/2006/main" count="518" uniqueCount="388">
  <si>
    <t>Sheet 1 - Inputs</t>
  </si>
  <si>
    <t>Tesla OBF final model | formulas drive all outputs | USD millions unless stated</t>
  </si>
  <si>
    <t>Input</t>
  </si>
  <si>
    <t>FY2025</t>
  </si>
  <si>
    <t>FY2026</t>
  </si>
  <si>
    <t>FY2027</t>
  </si>
  <si>
    <t>Class</t>
  </si>
  <si>
    <t>Source / basis</t>
  </si>
  <si>
    <t>Annual unit sales</t>
  </si>
  <si>
    <t>reported/assumed</t>
  </si>
  <si>
    <t>FY2025 reported, later plan</t>
  </si>
  <si>
    <t>Segment revenue</t>
  </si>
  <si>
    <t>calculated</t>
  </si>
  <si>
    <t>Company revenue x segment share</t>
  </si>
  <si>
    <t>Company revenue</t>
  </si>
  <si>
    <t>Whole company</t>
  </si>
  <si>
    <t>DM unit</t>
  </si>
  <si>
    <t>assumed</t>
  </si>
  <si>
    <t>Resource-cost input</t>
  </si>
  <si>
    <t>Wage rate</t>
  </si>
  <si>
    <t>Labour rate</t>
  </si>
  <si>
    <t>Variable MOH rate</t>
  </si>
  <si>
    <t>Per labour hour</t>
  </si>
  <si>
    <t>Fixed MOH</t>
  </si>
  <si>
    <t>Includes depreciation</t>
  </si>
  <si>
    <t>Segment SG&amp;A</t>
  </si>
  <si>
    <t>Period cost</t>
  </si>
  <si>
    <t>Company COGS</t>
  </si>
  <si>
    <t>Statement COGS</t>
  </si>
  <si>
    <t>R&amp;D</t>
  </si>
  <si>
    <t>Company SG&amp;A</t>
  </si>
  <si>
    <t>Restructuring</t>
  </si>
  <si>
    <t>Operating item</t>
  </si>
  <si>
    <t>Interest income</t>
  </si>
  <si>
    <t>Finance income</t>
  </si>
  <si>
    <t>Interest expense</t>
  </si>
  <si>
    <t>Reference plan; statement model uses debt schedule plus row 77 bridge</t>
  </si>
  <si>
    <t>Other income/(expense)</t>
  </si>
  <si>
    <t>Other expense, net</t>
  </si>
  <si>
    <t>Tax override</t>
  </si>
  <si>
    <t>FY2025 tax provision; cash budget assumes cash tax equals tax expense. SEC cash taxes paid net of refunds were $1,232M.</t>
  </si>
  <si>
    <t>Tax rate</t>
  </si>
  <si>
    <t>Planning tax rate</t>
  </si>
  <si>
    <t>Depreciation</t>
  </si>
  <si>
    <t>Non-cash cost</t>
  </si>
  <si>
    <t>Baseline capex</t>
  </si>
  <si>
    <t>Ongoing capex</t>
  </si>
  <si>
    <t>Project capex</t>
  </si>
  <si>
    <t>Accepted project outlay</t>
  </si>
  <si>
    <t>Dividends</t>
  </si>
  <si>
    <t>reported</t>
  </si>
  <si>
    <t>Tesla no-dividend policy</t>
  </si>
  <si>
    <t>Debt repayment</t>
  </si>
  <si>
    <t>Financing outflow</t>
  </si>
  <si>
    <t>Receivables</t>
  </si>
  <si>
    <t>Closing balance</t>
  </si>
  <si>
    <t>Inventory</t>
  </si>
  <si>
    <t>Total inventory</t>
  </si>
  <si>
    <t>Payables</t>
  </si>
  <si>
    <t>Direct planning assumption; no payable-days policy applied</t>
  </si>
  <si>
    <t>Other assets</t>
  </si>
  <si>
    <t>Fixed planning value</t>
  </si>
  <si>
    <t>Global input</t>
  </si>
  <si>
    <t>Value</t>
  </si>
  <si>
    <t>Basis</t>
  </si>
  <si>
    <t>Q1 mix</t>
  </si>
  <si>
    <t>Q2 mix</t>
  </si>
  <si>
    <t>Q3 mix</t>
  </si>
  <si>
    <t>Q4 mix</t>
  </si>
  <si>
    <t>FG buffer</t>
  </si>
  <si>
    <t>RM buffer</t>
  </si>
  <si>
    <t>Hours per unit</t>
  </si>
  <si>
    <t>Variable SG&amp;A share</t>
  </si>
  <si>
    <t>Quarter labour capacity</t>
  </si>
  <si>
    <t>FY2028 Q1 sales / production proxy</t>
  </si>
  <si>
    <t>Used for FY2027 Q4 closing FG and RM buffers</t>
  </si>
  <si>
    <t>Minimum cash</t>
  </si>
  <si>
    <t>Opening cash</t>
  </si>
  <si>
    <t>Opening receivables</t>
  </si>
  <si>
    <t>Opening inventory</t>
  </si>
  <si>
    <t>Opening PP&amp;E</t>
  </si>
  <si>
    <t>Opening payables</t>
  </si>
  <si>
    <t>Opening debt</t>
  </si>
  <si>
    <t>Opening other liabilities</t>
  </si>
  <si>
    <t>Opening equity</t>
  </si>
  <si>
    <t>Risk-free rate</t>
  </si>
  <si>
    <t>Beta</t>
  </si>
  <si>
    <t>Market premium</t>
  </si>
  <si>
    <t>Pre-tax debt cost</t>
  </si>
  <si>
    <t>Project WACC</t>
  </si>
  <si>
    <t>Project initial investment</t>
  </si>
  <si>
    <t>Project fixed cash cost</t>
  </si>
  <si>
    <t>Project depreciation</t>
  </si>
  <si>
    <t>Project tax rate</t>
  </si>
  <si>
    <t>Project units</t>
  </si>
  <si>
    <t>Year 1</t>
  </si>
  <si>
    <t>Year 2</t>
  </si>
  <si>
    <t>Year 3</t>
  </si>
  <si>
    <t>Year 4</t>
  </si>
  <si>
    <t>Year 5</t>
  </si>
  <si>
    <t>Project incremental units</t>
  </si>
  <si>
    <t>Source</t>
  </si>
  <si>
    <t>Title / URL</t>
  </si>
  <si>
    <t>Tesla 10-K FY2025</t>
  </si>
  <si>
    <t>https://www.sec.gov/Archives/edgar/data/1318605/000162828026003952/tsla-20251231.htm</t>
  </si>
  <si>
    <t>Argonne BatPaC / battery cost</t>
  </si>
  <si>
    <t>https://www.anl.gov/partnerships/batpac-battery-manufacturing-cost-estimation</t>
  </si>
  <si>
    <t>ICCT EV cost benefits 2022-2035</t>
  </si>
  <si>
    <t>https://theicct.org/publication/ev-cost-benefits-2035-oct22/</t>
  </si>
  <si>
    <t>Oliver Wyman labour cost per vehicle</t>
  </si>
  <si>
    <t>https://www.oliverwyman.com/our-expertise/insights/2025/apr/why-automakers-must-focus-on-labor-cost-per-vehicle.html</t>
  </si>
  <si>
    <t>Segment ASP</t>
  </si>
  <si>
    <t>Derived ASP = segment revenue / units</t>
  </si>
  <si>
    <t>Company revenue bridge</t>
  </si>
  <si>
    <t>bridge input</t>
  </si>
  <si>
    <t>Whole-company revenue less representative segment revenue</t>
  </si>
  <si>
    <t>Company COGS bridge</t>
  </si>
  <si>
    <t>Whole-company COGS less representative segment COGS</t>
  </si>
  <si>
    <t>Supplier payment bridge</t>
  </si>
  <si>
    <t>Resource-to-cash bridge output; statements use company COGS x DM share plus inventory/AP movement</t>
  </si>
  <si>
    <t>Labour payment bridge</t>
  </si>
  <si>
    <t>Whole-company labour paid less segment direct labour</t>
  </si>
  <si>
    <t>Cash MOH bridge</t>
  </si>
  <si>
    <t>Whole-company cash MOH less segment cash MOH</t>
  </si>
  <si>
    <t>Cash fixed MOH before depreciation</t>
  </si>
  <si>
    <t>Depreciation links into fixed MOH and profit</t>
  </si>
  <si>
    <t>Interest expense bridge</t>
  </si>
  <si>
    <t>Statements calculate interest from debt schedule plus this planning bridge</t>
  </si>
  <si>
    <t>Illustrative variance input</t>
  </si>
  <si>
    <t>Actual units / production</t>
  </si>
  <si>
    <t>illustrative actual</t>
  </si>
  <si>
    <t>Final brief permits FY2025 illustrative actuals</t>
  </si>
  <si>
    <t>Actual ASP</t>
  </si>
  <si>
    <t>Actual material qty per unit</t>
  </si>
  <si>
    <t>Actual material price</t>
  </si>
  <si>
    <t>Actual labour hrs per unit</t>
  </si>
  <si>
    <t>Actual labour rate</t>
  </si>
  <si>
    <t>Actual variable MOH rate</t>
  </si>
  <si>
    <t>Actual fixed MOH</t>
  </si>
  <si>
    <t>Actual variable SG&amp;A per unit</t>
  </si>
  <si>
    <t>Actual fixed SG&amp;A</t>
  </si>
  <si>
    <t>WACC risk-free source</t>
  </si>
  <si>
    <t>https://home.treasury.gov/policy-issues/financing-the-government/interest-rate-statistics</t>
  </si>
  <si>
    <t>WACC beta source</t>
  </si>
  <si>
    <t>https://pages.stern.nyu.edu/~adamodar/New_Home_Page/datafile/Betas.html</t>
  </si>
  <si>
    <t>WACC equity-risk-premium source</t>
  </si>
  <si>
    <t>https://pages.stern.nyu.edu/~adamodar/New_Home_Page/datacurrent.html</t>
  </si>
  <si>
    <t>Forecast assumption sources</t>
  </si>
  <si>
    <t>Tesla 10-K plus Argonne BatPaC, ICCT EV cost benefits, and Oliver Wyman labour-cost sources listed above</t>
  </si>
  <si>
    <t>Capital sensitivity discount rates</t>
  </si>
  <si>
    <t>Feeds Capital Appraisal sensitivity table</t>
  </si>
  <si>
    <t>Capacity resolution</t>
  </si>
  <si>
    <t>Smooth Q4 work into spare Q1-Q3 capacity using shift reallocation; no overtime premium budgeted.</t>
  </si>
  <si>
    <t>operational policy</t>
  </si>
  <si>
    <t>Capacity smoothing policy; no overtime cost remains in the budget</t>
  </si>
  <si>
    <t>Segment revenue share</t>
  </si>
  <si>
    <t>bridge assumption</t>
  </si>
  <si>
    <t>Report segment share: Auto + Services as share of company revenue</t>
  </si>
  <si>
    <t>Energy/Other revenue</t>
  </si>
  <si>
    <t>formula output</t>
  </si>
  <si>
    <t>Independent residual revenue based on company revenue and segment share</t>
  </si>
  <si>
    <t>Energy/Other gross profit</t>
  </si>
  <si>
    <t>Report Energy/Other GP bridge output</t>
  </si>
  <si>
    <t>Cost calibration</t>
  </si>
  <si>
    <t>FY2025 calibration and later planning calibration</t>
  </si>
  <si>
    <t>Residual SG&amp;A</t>
  </si>
  <si>
    <t>Company SG&amp;A less segment SG&amp;A</t>
  </si>
  <si>
    <t>Supplier cash factor</t>
  </si>
  <si>
    <t>Residual supplier cash requirement / residual COGS</t>
  </si>
  <si>
    <t>Labour cash factor</t>
  </si>
  <si>
    <t>Residual labour cash requirement / residual COGS</t>
  </si>
  <si>
    <t>Cash MOH factor</t>
  </si>
  <si>
    <t>Residual cash MOH requirement / residual COGS</t>
  </si>
  <si>
    <t>Overtime premium rate</t>
  </si>
  <si>
    <t>scenario check</t>
  </si>
  <si>
    <t>Reference premium rate used only if a future plan exceeds capacity</t>
  </si>
  <si>
    <t>Total deficit-hour premium</t>
  </si>
  <si>
    <t>Formula check; should be zero after production smoothing</t>
  </si>
  <si>
    <t>Q4 FY2027 premium</t>
  </si>
  <si>
    <t>Capital project operating basis</t>
  </si>
  <si>
    <t>Efficiency savings decline as automation utilisation matures over five years</t>
  </si>
  <si>
    <t>support note</t>
  </si>
  <si>
    <t>Declining project units proxy efficiency-savings lifecycle, not new demand</t>
  </si>
  <si>
    <t>Project timing and terminal assumptions</t>
  </si>
  <si>
    <t>FY2026 outlay at start of project; one FY2027 commissioning year; benefits start after commissioning; no salvage or terminal value; no incremental working capital</t>
  </si>
  <si>
    <t>Documents zero-benefit year and terminal assumptions</t>
  </si>
  <si>
    <t>FY2026 capex scenario</t>
  </si>
  <si>
    <t>Conservative floor scenario: $20B total capex, consistent with SEC wording of expected 2026 capex in excess of $20B</t>
  </si>
  <si>
    <t>SEC filing says in excess of $20B, not exactly $20B</t>
  </si>
  <si>
    <t>Payables policy</t>
  </si>
  <si>
    <t>Closing payables are direct planning assumptions; supplier payments use company DM share plus inventory/AP movement.</t>
  </si>
  <si>
    <t>Avoids claiming a supplier-days policy not modelled</t>
  </si>
  <si>
    <t>Direct materials share</t>
  </si>
  <si>
    <t>Drives DM unit cost from resource standard unit cost</t>
  </si>
  <si>
    <t>Direct labour share</t>
  </si>
  <si>
    <t>Drives wage rate from resource standard unit cost and hours/unit</t>
  </si>
  <si>
    <t>Manufacturing overhead share</t>
  </si>
  <si>
    <t>Drives variable MOH after fixed MOH/depreciation</t>
  </si>
  <si>
    <t>Resource standard unit cost</t>
  </si>
  <si>
    <t>FY2025 standard cost before company bridge</t>
  </si>
  <si>
    <t>FY2025 cash taxes paid per SEC</t>
  </si>
  <si>
    <t>reported reference</t>
  </si>
  <si>
    <t>Disclosed cash taxes paid net of refunds; not used because cash tax = tax expense assumption is applied</t>
  </si>
  <si>
    <t>Cash tax treatment</t>
  </si>
  <si>
    <t>Cash budget uses tax expense as cash tax assumption for all years.</t>
  </si>
  <si>
    <t>assumption</t>
  </si>
  <si>
    <t>Keeps direct cash budget and indirect CFO aligned without modelling tax payables</t>
  </si>
  <si>
    <t>Capital cash-flow sensitivity factors</t>
  </si>
  <si>
    <t>Feeds Capital Appraisal sensitivity table; downside/base/upside cash-flow factors</t>
  </si>
  <si>
    <t>Sheet 2 - Operating Budget</t>
  </si>
  <si>
    <t>Year</t>
  </si>
  <si>
    <t>Q</t>
  </si>
  <si>
    <t>Mix</t>
  </si>
  <si>
    <t>Units sold</t>
  </si>
  <si>
    <t>ASP</t>
  </si>
  <si>
    <t>Revenue</t>
  </si>
  <si>
    <t>Opening FG</t>
  </si>
  <si>
    <t>Closing FG</t>
  </si>
  <si>
    <t>Production</t>
  </si>
  <si>
    <t>Labour hrs</t>
  </si>
  <si>
    <t>DM cost</t>
  </si>
  <si>
    <t>Labour cost</t>
  </si>
  <si>
    <t>Variable MOH</t>
  </si>
  <si>
    <t>Total MOH</t>
  </si>
  <si>
    <t>Std unit cost</t>
  </si>
  <si>
    <t>COGS</t>
  </si>
  <si>
    <t>SG&amp;A</t>
  </si>
  <si>
    <t>Segment OI</t>
  </si>
  <si>
    <t>Capacity gap</t>
  </si>
  <si>
    <t>Opening RM units</t>
  </si>
  <si>
    <t>Closing RM units</t>
  </si>
  <si>
    <t>RM purchases units</t>
  </si>
  <si>
    <t>Purchase cost</t>
  </si>
  <si>
    <t>COGM</t>
  </si>
  <si>
    <t>Opening FG value</t>
  </si>
  <si>
    <t>Closing FG value</t>
  </si>
  <si>
    <t>COGS check</t>
  </si>
  <si>
    <t>Overtime premium risk</t>
  </si>
  <si>
    <t>DM</t>
  </si>
  <si>
    <t>Labour</t>
  </si>
  <si>
    <t>MOH</t>
  </si>
  <si>
    <t>Capacity deficit hrs</t>
  </si>
  <si>
    <t>RM purchase cost</t>
  </si>
  <si>
    <t>Sheet 3 - Variance Analysis</t>
  </si>
  <si>
    <t>Line</t>
  </si>
  <si>
    <t>Static</t>
  </si>
  <si>
    <t>Flexible</t>
  </si>
  <si>
    <t>Actual</t>
  </si>
  <si>
    <t>Formula / owner</t>
  </si>
  <si>
    <t>Budget Q1 units</t>
  </si>
  <si>
    <t>Budget ASP</t>
  </si>
  <si>
    <t>Variance bridge</t>
  </si>
  <si>
    <t>Amount</t>
  </si>
  <si>
    <t>Formula</t>
  </si>
  <si>
    <t>Q1 absorption OI</t>
  </si>
  <si>
    <t>Operating Budget absorption-basis OI</t>
  </si>
  <si>
    <t>Absorption adjustment</t>
  </si>
  <si>
    <t>Fixed OH budget less fixed OH absorbed into Q1 COGS</t>
  </si>
  <si>
    <t>Static control-basis OI</t>
  </si>
  <si>
    <t>Planned volume, price and standards</t>
  </si>
  <si>
    <t>Flexible OI</t>
  </si>
  <si>
    <t>Actual volume at budgeted rates</t>
  </si>
  <si>
    <t>Actual OI</t>
  </si>
  <si>
    <t>Actual units, ASP, quantities, rates and fixed costs</t>
  </si>
  <si>
    <t>Sales volume</t>
  </si>
  <si>
    <t>Flexible OI - static control-basis OI</t>
  </si>
  <si>
    <t>Sales price</t>
  </si>
  <si>
    <t>Actual ASP - budget ASP, at actual units</t>
  </si>
  <si>
    <t>Material price</t>
  </si>
  <si>
    <t>Actual DM price - standard DM price, at actual quantity</t>
  </si>
  <si>
    <t>Material quantity</t>
  </si>
  <si>
    <t>Actual material quantity - standard quantity, at standard price</t>
  </si>
  <si>
    <t>Actual labour rate - standard labour rate, at actual hours</t>
  </si>
  <si>
    <t>Labour efficiency</t>
  </si>
  <si>
    <t>Actual hours - standard hours allowed, at standard labour rate</t>
  </si>
  <si>
    <t>MOH total</t>
  </si>
  <si>
    <t>Variable MOH spending + efficiency + fixed MOH spending</t>
  </si>
  <si>
    <t>SG&amp;A total</t>
  </si>
  <si>
    <t>Variable SG&amp;A spending + fixed SG&amp;A spending</t>
  </si>
  <si>
    <t>Bridge check</t>
  </si>
  <si>
    <t>Should equal zero: static control OI + variances - actual OI</t>
  </si>
  <si>
    <t>Static / Flexible / Actual Schedule</t>
  </si>
  <si>
    <t>Sheet 2 / Sheet 1</t>
  </si>
  <si>
    <t>Selling price</t>
  </si>
  <si>
    <t>Budget ASP and actual ASP</t>
  </si>
  <si>
    <t>Units x ASP</t>
  </si>
  <si>
    <t>Direct Materials</t>
  </si>
  <si>
    <t>Standard / actual quantity and price</t>
  </si>
  <si>
    <t>Direct Labour</t>
  </si>
  <si>
    <t>Standard / actual hours and rate</t>
  </si>
  <si>
    <t>Variable Manufacturing Overhead</t>
  </si>
  <si>
    <t>Standard / actual rate</t>
  </si>
  <si>
    <t>Fixed Manufacturing Overhead</t>
  </si>
  <si>
    <t>Fixed OH budget / actual</t>
  </si>
  <si>
    <t>Variable SG&amp;A</t>
  </si>
  <si>
    <t>Variable SG&amp;A per unit</t>
  </si>
  <si>
    <t>Fixed SG&amp;A</t>
  </si>
  <si>
    <t>Fixed SG&amp;A budget / actual</t>
  </si>
  <si>
    <t>Operating income</t>
  </si>
  <si>
    <t>Schedule check</t>
  </si>
  <si>
    <t>Schedule-to-bridge check</t>
  </si>
  <si>
    <t>Should be zero</t>
  </si>
  <si>
    <t>Sheet 4 - Capital Appraisal</t>
  </si>
  <si>
    <t>DCF year</t>
  </si>
  <si>
    <t>Operating year</t>
  </si>
  <si>
    <t>Units</t>
  </si>
  <si>
    <t>Contribution/unit</t>
  </si>
  <si>
    <t>Contribution</t>
  </si>
  <si>
    <t>Fixed cash cost</t>
  </si>
  <si>
    <t>EBIT</t>
  </si>
  <si>
    <t>Tax</t>
  </si>
  <si>
    <t>Cash flow</t>
  </si>
  <si>
    <t>Discount factor</t>
  </si>
  <si>
    <t>PV</t>
  </si>
  <si>
    <t>Cum cash</t>
  </si>
  <si>
    <t>Cum PV</t>
  </si>
  <si>
    <t>Outlay</t>
  </si>
  <si>
    <t>Commissioning lag</t>
  </si>
  <si>
    <t>Metric</t>
  </si>
  <si>
    <t>Result</t>
  </si>
  <si>
    <t>NPV</t>
  </si>
  <si>
    <t>IRR</t>
  </si>
  <si>
    <t>Simple payback</t>
  </si>
  <si>
    <t>Discounted payback</t>
  </si>
  <si>
    <t>Discount rate</t>
  </si>
  <si>
    <t>CF -10%</t>
  </si>
  <si>
    <t>Base CF</t>
  </si>
  <si>
    <t>CF +10%</t>
  </si>
  <si>
    <t>WACC bridge</t>
  </si>
  <si>
    <t>Debt weight</t>
  </si>
  <si>
    <t>Equity weight</t>
  </si>
  <si>
    <t>Cost of equity</t>
  </si>
  <si>
    <t>After-tax cost of debt</t>
  </si>
  <si>
    <t>Calculated WACC</t>
  </si>
  <si>
    <t>Planning WACC used</t>
  </si>
  <si>
    <t>Sheet 5 - Statements</t>
  </si>
  <si>
    <t>Gross profit</t>
  </si>
  <si>
    <t>OI</t>
  </si>
  <si>
    <t>Interest inc</t>
  </si>
  <si>
    <t>Interest exp</t>
  </si>
  <si>
    <t>Other</t>
  </si>
  <si>
    <t>PBT</t>
  </si>
  <si>
    <t>NI</t>
  </si>
  <si>
    <t>Collections</t>
  </si>
  <si>
    <t>Supplier payments</t>
  </si>
  <si>
    <t>Labour paid</t>
  </si>
  <si>
    <t>MOH cash</t>
  </si>
  <si>
    <t>Opex paid</t>
  </si>
  <si>
    <t>CFO direct</t>
  </si>
  <si>
    <t>Capex</t>
  </si>
  <si>
    <t>Debt repay</t>
  </si>
  <si>
    <t>Financing draw</t>
  </si>
  <si>
    <t>Closing cash</t>
  </si>
  <si>
    <t>Cash</t>
  </si>
  <si>
    <t>PP&amp;E</t>
  </si>
  <si>
    <t>Total assets</t>
  </si>
  <si>
    <t>Debt</t>
  </si>
  <si>
    <t>Other liabilities</t>
  </si>
  <si>
    <t>Equity</t>
  </si>
  <si>
    <t>Total L+E</t>
  </si>
  <si>
    <t>BS check</t>
  </si>
  <si>
    <t>Control</t>
  </si>
  <si>
    <t>Status</t>
  </si>
  <si>
    <t>FY2025 NI formula closes</t>
  </si>
  <si>
    <t>NPV ties DCF cumulative PV</t>
  </si>
  <si>
    <t>BS check total</t>
  </si>
  <si>
    <t>Revenue equals company input</t>
  </si>
  <si>
    <t>COGS equals company input</t>
  </si>
  <si>
    <t>Project capex feeds cash budget</t>
  </si>
  <si>
    <t>Indirect Cash Flow Statement</t>
  </si>
  <si>
    <t>Net income</t>
  </si>
  <si>
    <t>Increase in receivables</t>
  </si>
  <si>
    <t>Increase in inventory</t>
  </si>
  <si>
    <t>Increase in payables</t>
  </si>
  <si>
    <t>Working-capital increase</t>
  </si>
  <si>
    <t>CFO indirect</t>
  </si>
  <si>
    <t>Capital expenditure</t>
  </si>
  <si>
    <t>Cash change</t>
  </si>
  <si>
    <t>Closing cash - cash flow</t>
  </si>
  <si>
    <t>Net working capital</t>
  </si>
  <si>
    <t>Cash-flow controls</t>
  </si>
  <si>
    <t>Direct CFO = indirect CFO</t>
  </si>
  <si>
    <t>Cash budget cash = cash-flow cash</t>
  </si>
  <si>
    <t>Cash-flow cash = balance-sheet cash</t>
  </si>
  <si>
    <t>Annual statement controls</t>
  </si>
  <si>
    <t>Revenue vs approved company input</t>
  </si>
  <si>
    <t>COGS vs approved company input</t>
  </si>
  <si>
    <t>Balance sheet by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</si>
</sst>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;[Red]\(0.00\);\-"/>
    <numFmt numFmtId="165" formatCode="#,##0;[Red]\(#,##0\);\-"/>
    <numFmt numFmtId="166" formatCode="0.0%"/>
    <numFmt numFmtId="167" formatCode="0.000"/>
    <numFmt numFmtId="168" formatCode="#,##0.0"/>
    <numFmt numFmtId="169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1F4E79"/>
      <name val="Calibri"/>
    </font>
    <font>
      <sz val="11"/>
      <color rgb="FF008000"/>
      <name val="Calibri"/>
    </font>
    <font>
      <sz val="11"/>
      <color rgb="FFC00000"/>
      <name val="Calibri"/>
    </font>
    <font>
      <sz val="11"/>
      <color rgb="FF008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71B23"/>
      </patternFill>
    </fill>
    <fill>
      <patternFill patternType="solid">
        <fgColor rgb="FF1F2937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E2F0D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DEE6"/>
      </bottom>
      <diagonal/>
    </border>
    <border>
      <left/>
      <right/>
      <top/>
      <bottom style="thin">
        <color rgb="FFD9DEE7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1" fontId="0" fillId="0" borderId="1" xfId="0" applyNumberForma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4" fontId="0" fillId="0" borderId="0" xfId="0" applyNumberFormat="1"/>
    <xf numFmtId="0" fontId="2" fillId="3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65" fontId="4" fillId="4" borderId="2" xfId="0" applyNumberFormat="1" applyFont="1" applyFill="1" applyBorder="1" applyAlignment="1">
      <alignment vertical="top" wrapText="1"/>
    </xf>
    <xf numFmtId="165" fontId="3" fillId="0" borderId="2" xfId="0" applyNumberFormat="1" applyFont="1" applyBorder="1" applyAlignment="1">
      <alignment vertical="top" wrapText="1"/>
    </xf>
    <xf numFmtId="165" fontId="5" fillId="5" borderId="2" xfId="0" applyNumberFormat="1" applyFont="1" applyFill="1" applyBorder="1" applyAlignment="1">
      <alignment vertical="top" wrapText="1"/>
    </xf>
    <xf numFmtId="165" fontId="2" fillId="3" borderId="2" xfId="0" applyNumberFormat="1" applyFont="1" applyFill="1" applyBorder="1" applyAlignment="1">
      <alignment vertical="top" wrapText="1"/>
    </xf>
    <xf numFmtId="166" fontId="4" fillId="4" borderId="2" xfId="0" applyNumberFormat="1" applyFont="1" applyFill="1" applyBorder="1" applyAlignment="1">
      <alignment vertical="top" wrapText="1"/>
    </xf>
    <xf numFmtId="166" fontId="2" fillId="3" borderId="2" xfId="0" applyNumberFormat="1" applyFont="1" applyFill="1" applyBorder="1" applyAlignment="1">
      <alignment vertical="top" wrapText="1"/>
    </xf>
    <xf numFmtId="166" fontId="3" fillId="0" borderId="2" xfId="0" applyNumberFormat="1" applyFont="1" applyBorder="1" applyAlignment="1">
      <alignment vertical="top" wrapText="1"/>
    </xf>
    <xf numFmtId="0" fontId="6" fillId="6" borderId="2" xfId="0" applyFont="1" applyFill="1" applyBorder="1" applyAlignment="1">
      <alignment vertical="top" wrapText="1"/>
    </xf>
    <xf numFmtId="167" fontId="4" fillId="4" borderId="2" xfId="0" applyNumberFormat="1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1" fontId="3" fillId="0" borderId="2" xfId="0" applyNumberFormat="1" applyFont="1" applyBorder="1" applyAlignment="1">
      <alignment vertical="top" wrapText="1"/>
    </xf>
    <xf numFmtId="166" fontId="5" fillId="5" borderId="2" xfId="0" applyNumberFormat="1" applyFont="1" applyFill="1" applyBorder="1" applyAlignment="1">
      <alignment vertical="top" wrapText="1"/>
    </xf>
    <xf numFmtId="168" fontId="5" fillId="5" borderId="2" xfId="0" applyNumberFormat="1" applyFont="1" applyFill="1" applyBorder="1" applyAlignment="1">
      <alignment vertical="top" wrapText="1"/>
    </xf>
    <xf numFmtId="1" fontId="2" fillId="3" borderId="2" xfId="0" applyNumberFormat="1" applyFont="1" applyFill="1" applyBorder="1" applyAlignment="1">
      <alignment vertical="top" wrapText="1"/>
    </xf>
    <xf numFmtId="167" fontId="5" fillId="5" borderId="2" xfId="0" applyNumberFormat="1" applyFont="1" applyFill="1" applyBorder="1" applyAlignment="1">
      <alignment vertical="top" wrapText="1"/>
    </xf>
    <xf numFmtId="167" fontId="3" fillId="0" borderId="2" xfId="0" applyNumberFormat="1" applyFont="1" applyBorder="1" applyAlignment="1">
      <alignment vertical="top" wrapText="1"/>
    </xf>
    <xf numFmtId="2" fontId="5" fillId="5" borderId="2" xfId="0" applyNumberFormat="1" applyFont="1" applyFill="1" applyBorder="1" applyAlignment="1">
      <alignment vertical="top" wrapText="1"/>
    </xf>
    <xf numFmtId="2" fontId="2" fillId="3" borderId="2" xfId="0" applyNumberFormat="1" applyFont="1" applyFill="1" applyBorder="1" applyAlignment="1">
      <alignment vertical="top" wrapText="1"/>
    </xf>
    <xf numFmtId="164" fontId="3" fillId="0" borderId="2" xfId="0" applyNumberFormat="1" applyFont="1" applyBorder="1" applyAlignment="1">
      <alignment vertical="top" wrapText="1"/>
    </xf>
    <xf numFmtId="164" fontId="5" fillId="5" borderId="2" xfId="0" applyNumberFormat="1" applyFont="1" applyFill="1" applyBorder="1" applyAlignment="1">
      <alignment vertical="top" wrapText="1"/>
    </xf>
    <xf numFmtId="164" fontId="2" fillId="3" borderId="2" xfId="0" applyNumberFormat="1" applyFont="1" applyFill="1" applyBorder="1" applyAlignment="1">
      <alignment vertical="top" wrapText="1"/>
    </xf>
    <xf numFmtId="165" fontId="7" fillId="7" borderId="2" xfId="0" applyNumberFormat="1" applyFont="1" applyFill="1" applyBorder="1" applyAlignment="1">
      <alignment vertical="top" wrapText="1"/>
    </xf>
    <xf numFmtId="169" fontId="2" fillId="3" borderId="2" xfId="0" applyNumberFormat="1" applyFont="1" applyFill="1" applyBorder="1" applyAlignment="1">
      <alignment vertical="top" wrapText="1"/>
    </xf>
  </cellXfs>
  <cellStyles count="1">
    <cellStyle name="Normal" xfId="0" builtinId="0"/>
  </cellStyles>
  <dxfs count="6">
    <dxf>
      <font>
        <color rgb="FFC00000"/>
      </font>
    </dxf>
    <dxf>
      <font>
        <color rgb="FF008000"/>
      </font>
    </dxf>
    <dxf>
      <font>
        <color rgb="FFC00000"/>
      </font>
    </dxf>
    <dxf>
      <font>
        <color rgb="FF008000"/>
      </font>
    </dxf>
    <dxf>
      <font>
        <color rgb="FFC00000"/>
      </font>
    </dxf>
    <dxf>
      <font>
        <color rgb="FF008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"/>
  <sheetViews>
    <sheetView showGridLines="0" tabSelected="1" workbookViewId="0">
      <pane ySplit="3" topLeftCell="A4" activePane="bottomLeft" state="frozen"/>
      <selection pane="bottomLeft"/>
    </sheetView>
  </sheetViews>
  <sheetFormatPr defaultRowHeight="14.4" x14ac:dyDescent="0.3"/>
  <cols>
    <col min="1" max="2" width="34" customWidth="1"/>
    <col min="3" max="5" width="15" customWidth="1"/>
    <col min="6" max="6" width="70" customWidth="1"/>
  </cols>
  <sheetData>
    <row r="1" spans="1:6" ht="21" customHeight="1" x14ac:dyDescent="0.3">
      <c r="A1" s="6" t="s">
        <v>0</v>
      </c>
      <c r="B1" s="1"/>
      <c r="C1" s="1"/>
      <c r="D1" s="1"/>
      <c r="E1" s="1"/>
      <c r="F1" s="1"/>
    </row>
    <row r="2" spans="1:6" ht="36" customHeight="1" x14ac:dyDescent="0.3">
      <c r="A2" s="7" t="s">
        <v>1</v>
      </c>
      <c r="B2" s="1"/>
      <c r="C2" s="1"/>
      <c r="D2" s="1"/>
      <c r="E2" s="1"/>
      <c r="F2" s="1"/>
    </row>
    <row r="3" spans="1:6" x14ac:dyDescent="0.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 ht="28.8" customHeight="1" x14ac:dyDescent="0.3">
      <c r="A4" s="7" t="s">
        <v>8</v>
      </c>
      <c r="B4" s="8">
        <v>1636129</v>
      </c>
      <c r="C4" s="8">
        <v>1670000</v>
      </c>
      <c r="D4" s="8">
        <v>1754000</v>
      </c>
      <c r="E4" s="7" t="s">
        <v>9</v>
      </c>
      <c r="F4" s="7" t="s">
        <v>10</v>
      </c>
    </row>
    <row r="5" spans="1:6" x14ac:dyDescent="0.3">
      <c r="A5" s="7" t="s">
        <v>11</v>
      </c>
      <c r="B5" s="9">
        <f>B6*B99</f>
        <v>82056</v>
      </c>
      <c r="C5" s="9">
        <f>C6*C99</f>
        <v>82226</v>
      </c>
      <c r="D5" s="9">
        <f>D6*D99</f>
        <v>86337</v>
      </c>
      <c r="E5" s="7" t="s">
        <v>12</v>
      </c>
      <c r="F5" s="7" t="s">
        <v>13</v>
      </c>
    </row>
    <row r="6" spans="1:6" ht="28.8" customHeight="1" x14ac:dyDescent="0.3">
      <c r="A6" s="7" t="s">
        <v>14</v>
      </c>
      <c r="B6" s="8">
        <v>94827</v>
      </c>
      <c r="C6" s="8">
        <v>95023</v>
      </c>
      <c r="D6" s="8">
        <v>99774</v>
      </c>
      <c r="E6" s="7" t="s">
        <v>9</v>
      </c>
      <c r="F6" s="7" t="s">
        <v>15</v>
      </c>
    </row>
    <row r="7" spans="1:6" ht="28.8" customHeight="1" x14ac:dyDescent="0.3">
      <c r="A7" s="7" t="s">
        <v>16</v>
      </c>
      <c r="B7" s="9">
        <f>B119*B116</f>
        <v>24934.799999999999</v>
      </c>
      <c r="C7" s="9">
        <f>C119*C116</f>
        <v>24756.6</v>
      </c>
      <c r="D7" s="9">
        <f>D119*D116</f>
        <v>24667.8</v>
      </c>
      <c r="E7" s="7" t="s">
        <v>17</v>
      </c>
      <c r="F7" s="7" t="s">
        <v>18</v>
      </c>
    </row>
    <row r="8" spans="1:6" x14ac:dyDescent="0.3">
      <c r="A8" s="7" t="s">
        <v>19</v>
      </c>
      <c r="B8" s="9">
        <f>B119*B117/$B$38</f>
        <v>83.116</v>
      </c>
      <c r="C8" s="9">
        <f>C119*C117/$B$38</f>
        <v>82.522000000000006</v>
      </c>
      <c r="D8" s="9">
        <f>D119*D117/$B$38</f>
        <v>82.225999999999999</v>
      </c>
      <c r="E8" s="7" t="s">
        <v>17</v>
      </c>
      <c r="F8" s="7" t="s">
        <v>20</v>
      </c>
    </row>
    <row r="9" spans="1:6" x14ac:dyDescent="0.3">
      <c r="A9" s="7" t="s">
        <v>21</v>
      </c>
      <c r="B9" s="10">
        <f>((B119*B118)-(B10*1000000/SUM('Operating Budget'!I4:I7)))/$B$38</f>
        <v>137.4296759402483</v>
      </c>
      <c r="C9" s="10">
        <f>((C119*C118)-(C10*1000000/SUM('Operating Budget'!I8:I11)))/$B$38</f>
        <v>134.70255818538072</v>
      </c>
      <c r="D9" s="10">
        <f>((D119*D118)-(D10*1000000/SUM('Operating Budget'!I12:I15)))/$B$38</f>
        <v>135.99570022727571</v>
      </c>
      <c r="E9" s="7" t="s">
        <v>17</v>
      </c>
      <c r="F9" s="7" t="s">
        <v>22</v>
      </c>
    </row>
    <row r="10" spans="1:6" ht="28.8" customHeight="1" x14ac:dyDescent="0.3">
      <c r="A10" s="7" t="s">
        <v>23</v>
      </c>
      <c r="B10" s="9">
        <f>B76+B21</f>
        <v>9160</v>
      </c>
      <c r="C10" s="9">
        <f>C76+C21</f>
        <v>9435</v>
      </c>
      <c r="D10" s="9">
        <f>D76+D21</f>
        <v>9718</v>
      </c>
      <c r="E10" s="7" t="s">
        <v>17</v>
      </c>
      <c r="F10" s="7" t="s">
        <v>24</v>
      </c>
    </row>
    <row r="11" spans="1:6" x14ac:dyDescent="0.3">
      <c r="A11" s="7" t="s">
        <v>25</v>
      </c>
      <c r="B11" s="8">
        <v>5050</v>
      </c>
      <c r="C11" s="8">
        <v>5301</v>
      </c>
      <c r="D11" s="8">
        <v>5528</v>
      </c>
      <c r="E11" s="7" t="s">
        <v>17</v>
      </c>
      <c r="F11" s="7" t="s">
        <v>26</v>
      </c>
    </row>
    <row r="12" spans="1:6" ht="28.8" customHeight="1" x14ac:dyDescent="0.3">
      <c r="A12" s="7" t="s">
        <v>27</v>
      </c>
      <c r="B12" s="8">
        <v>77733</v>
      </c>
      <c r="C12" s="8">
        <v>77919</v>
      </c>
      <c r="D12" s="8">
        <v>81815</v>
      </c>
      <c r="E12" s="7" t="s">
        <v>9</v>
      </c>
      <c r="F12" s="7" t="s">
        <v>28</v>
      </c>
    </row>
    <row r="13" spans="1:6" ht="28.8" customHeight="1" x14ac:dyDescent="0.3">
      <c r="A13" s="7" t="s">
        <v>29</v>
      </c>
      <c r="B13" s="8">
        <v>6411</v>
      </c>
      <c r="C13" s="8">
        <v>7693</v>
      </c>
      <c r="D13" s="8">
        <v>7963</v>
      </c>
      <c r="E13" s="7" t="s">
        <v>9</v>
      </c>
      <c r="F13" s="7" t="s">
        <v>26</v>
      </c>
    </row>
    <row r="14" spans="1:6" ht="28.8" customHeight="1" x14ac:dyDescent="0.3">
      <c r="A14" s="7" t="s">
        <v>30</v>
      </c>
      <c r="B14" s="8">
        <v>5834</v>
      </c>
      <c r="C14" s="8">
        <v>6126</v>
      </c>
      <c r="D14" s="8">
        <v>6257</v>
      </c>
      <c r="E14" s="7" t="s">
        <v>9</v>
      </c>
      <c r="F14" s="7" t="s">
        <v>26</v>
      </c>
    </row>
    <row r="15" spans="1:6" ht="28.8" customHeight="1" x14ac:dyDescent="0.3">
      <c r="A15" s="7" t="s">
        <v>31</v>
      </c>
      <c r="B15" s="8">
        <v>494</v>
      </c>
      <c r="C15" s="8">
        <v>247</v>
      </c>
      <c r="D15" s="8">
        <v>130</v>
      </c>
      <c r="E15" s="7" t="s">
        <v>9</v>
      </c>
      <c r="F15" s="7" t="s">
        <v>32</v>
      </c>
    </row>
    <row r="16" spans="1:6" ht="28.8" customHeight="1" x14ac:dyDescent="0.3">
      <c r="A16" s="7" t="s">
        <v>33</v>
      </c>
      <c r="B16" s="8">
        <v>1680</v>
      </c>
      <c r="C16" s="8">
        <v>1200</v>
      </c>
      <c r="D16" s="8">
        <v>1250</v>
      </c>
      <c r="E16" s="7" t="s">
        <v>9</v>
      </c>
      <c r="F16" s="7" t="s">
        <v>34</v>
      </c>
    </row>
    <row r="17" spans="1:6" ht="28.8" customHeight="1" x14ac:dyDescent="0.3">
      <c r="A17" s="6" t="s">
        <v>35</v>
      </c>
      <c r="B17" s="11">
        <v>338</v>
      </c>
      <c r="C17" s="11">
        <v>300</v>
      </c>
      <c r="D17" s="11">
        <v>650</v>
      </c>
      <c r="E17" s="6" t="s">
        <v>9</v>
      </c>
      <c r="F17" s="6" t="s">
        <v>36</v>
      </c>
    </row>
    <row r="18" spans="1:6" ht="28.8" customHeight="1" x14ac:dyDescent="0.3">
      <c r="A18" s="7" t="s">
        <v>37</v>
      </c>
      <c r="B18" s="8">
        <v>-419</v>
      </c>
      <c r="C18" s="8">
        <v>0</v>
      </c>
      <c r="D18" s="8">
        <v>0</v>
      </c>
      <c r="E18" s="7" t="s">
        <v>9</v>
      </c>
      <c r="F18" s="7" t="s">
        <v>38</v>
      </c>
    </row>
    <row r="19" spans="1:6" ht="28.8" customHeight="1" x14ac:dyDescent="0.3">
      <c r="A19" s="7" t="s">
        <v>39</v>
      </c>
      <c r="B19" s="8">
        <v>1423</v>
      </c>
      <c r="C19" s="1"/>
      <c r="D19" s="1"/>
      <c r="E19" s="7" t="s">
        <v>9</v>
      </c>
      <c r="F19" s="7" t="s">
        <v>40</v>
      </c>
    </row>
    <row r="20" spans="1:6" x14ac:dyDescent="0.3">
      <c r="A20" s="7" t="s">
        <v>41</v>
      </c>
      <c r="B20" s="12">
        <v>0.27</v>
      </c>
      <c r="C20" s="12">
        <v>0.21</v>
      </c>
      <c r="D20" s="12">
        <v>0.21</v>
      </c>
      <c r="E20" s="7" t="s">
        <v>17</v>
      </c>
      <c r="F20" s="7" t="s">
        <v>42</v>
      </c>
    </row>
    <row r="21" spans="1:6" x14ac:dyDescent="0.3">
      <c r="A21" s="6" t="s">
        <v>43</v>
      </c>
      <c r="B21" s="11">
        <v>5200</v>
      </c>
      <c r="C21" s="11">
        <v>6100</v>
      </c>
      <c r="D21" s="11">
        <v>6800</v>
      </c>
      <c r="E21" s="6" t="s">
        <v>17</v>
      </c>
      <c r="F21" s="6" t="s">
        <v>44</v>
      </c>
    </row>
    <row r="22" spans="1:6" x14ac:dyDescent="0.3">
      <c r="A22" s="7" t="s">
        <v>45</v>
      </c>
      <c r="B22" s="8">
        <v>12000</v>
      </c>
      <c r="C22" s="8">
        <v>17400</v>
      </c>
      <c r="D22" s="8">
        <v>10500</v>
      </c>
      <c r="E22" s="7" t="s">
        <v>17</v>
      </c>
      <c r="F22" s="7" t="s">
        <v>46</v>
      </c>
    </row>
    <row r="23" spans="1:6" ht="28.8" customHeight="1" x14ac:dyDescent="0.3">
      <c r="A23" s="7" t="s">
        <v>47</v>
      </c>
      <c r="B23" s="8">
        <v>0</v>
      </c>
      <c r="C23" s="10">
        <f>-'Capital Appraisal'!$J$4</f>
        <v>2600</v>
      </c>
      <c r="D23" s="8">
        <v>0</v>
      </c>
      <c r="E23" s="7" t="s">
        <v>17</v>
      </c>
      <c r="F23" s="7" t="s">
        <v>48</v>
      </c>
    </row>
    <row r="24" spans="1:6" ht="28.8" customHeight="1" x14ac:dyDescent="0.3">
      <c r="A24" s="7" t="s">
        <v>49</v>
      </c>
      <c r="B24" s="8">
        <v>0</v>
      </c>
      <c r="C24" s="8">
        <v>0</v>
      </c>
      <c r="D24" s="8">
        <v>0</v>
      </c>
      <c r="E24" s="7" t="s">
        <v>50</v>
      </c>
      <c r="F24" s="7" t="s">
        <v>51</v>
      </c>
    </row>
    <row r="25" spans="1:6" x14ac:dyDescent="0.3">
      <c r="A25" s="6" t="s">
        <v>52</v>
      </c>
      <c r="B25" s="11">
        <v>200</v>
      </c>
      <c r="C25" s="11">
        <v>200</v>
      </c>
      <c r="D25" s="11">
        <v>200</v>
      </c>
      <c r="E25" s="6" t="s">
        <v>17</v>
      </c>
      <c r="F25" s="6" t="s">
        <v>53</v>
      </c>
    </row>
    <row r="26" spans="1:6" x14ac:dyDescent="0.3">
      <c r="A26" s="7" t="s">
        <v>54</v>
      </c>
      <c r="B26" s="8">
        <v>9482.7000000000007</v>
      </c>
      <c r="C26" s="8">
        <v>9502.2999999999993</v>
      </c>
      <c r="D26" s="8">
        <v>9977.4</v>
      </c>
      <c r="E26" s="7" t="s">
        <v>17</v>
      </c>
      <c r="F26" s="7" t="s">
        <v>55</v>
      </c>
    </row>
    <row r="27" spans="1:6" x14ac:dyDescent="0.3">
      <c r="A27" s="7" t="s">
        <v>56</v>
      </c>
      <c r="B27" s="8">
        <v>12392</v>
      </c>
      <c r="C27" s="8">
        <v>12802</v>
      </c>
      <c r="D27" s="8">
        <v>13200</v>
      </c>
      <c r="E27" s="7" t="s">
        <v>17</v>
      </c>
      <c r="F27" s="7" t="s">
        <v>57</v>
      </c>
    </row>
    <row r="28" spans="1:6" x14ac:dyDescent="0.3">
      <c r="A28" s="7" t="s">
        <v>58</v>
      </c>
      <c r="B28" s="8">
        <v>12450</v>
      </c>
      <c r="C28" s="8">
        <v>12850</v>
      </c>
      <c r="D28" s="8">
        <v>13250</v>
      </c>
      <c r="E28" s="7" t="s">
        <v>17</v>
      </c>
      <c r="F28" s="7" t="s">
        <v>59</v>
      </c>
    </row>
    <row r="29" spans="1:6" ht="28.8" customHeight="1" x14ac:dyDescent="0.3">
      <c r="A29" s="7" t="s">
        <v>60</v>
      </c>
      <c r="B29" s="8">
        <v>53660</v>
      </c>
      <c r="C29" s="8">
        <v>53660</v>
      </c>
      <c r="D29" s="8">
        <v>53660</v>
      </c>
      <c r="E29" s="7" t="s">
        <v>17</v>
      </c>
      <c r="F29" s="7" t="s">
        <v>61</v>
      </c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6" t="s">
        <v>62</v>
      </c>
      <c r="B31" s="6" t="s">
        <v>63</v>
      </c>
      <c r="C31" s="2"/>
      <c r="D31" s="2"/>
      <c r="E31" s="2"/>
      <c r="F31" s="6" t="s">
        <v>64</v>
      </c>
    </row>
    <row r="32" spans="1:6" x14ac:dyDescent="0.3">
      <c r="A32" s="7" t="s">
        <v>65</v>
      </c>
      <c r="B32" s="12">
        <v>0.23</v>
      </c>
      <c r="C32" s="1"/>
      <c r="D32" s="1"/>
      <c r="E32" s="1"/>
      <c r="F32" s="1"/>
    </row>
    <row r="33" spans="1:6" x14ac:dyDescent="0.3">
      <c r="A33" s="7" t="s">
        <v>66</v>
      </c>
      <c r="B33" s="12">
        <v>0.24</v>
      </c>
      <c r="C33" s="1"/>
      <c r="D33" s="1"/>
      <c r="E33" s="1"/>
      <c r="F33" s="1"/>
    </row>
    <row r="34" spans="1:6" x14ac:dyDescent="0.3">
      <c r="A34" s="6" t="s">
        <v>67</v>
      </c>
      <c r="B34" s="13">
        <v>0.25</v>
      </c>
      <c r="C34" s="1"/>
      <c r="D34" s="1"/>
      <c r="E34" s="1"/>
      <c r="F34" s="1"/>
    </row>
    <row r="35" spans="1:6" x14ac:dyDescent="0.3">
      <c r="A35" s="7" t="s">
        <v>68</v>
      </c>
      <c r="B35" s="12">
        <v>0.28000000000000003</v>
      </c>
      <c r="C35" s="1"/>
      <c r="D35" s="1"/>
      <c r="E35" s="1"/>
      <c r="F35" s="1"/>
    </row>
    <row r="36" spans="1:6" x14ac:dyDescent="0.3">
      <c r="A36" s="7" t="s">
        <v>69</v>
      </c>
      <c r="B36" s="12">
        <v>0.1</v>
      </c>
      <c r="C36" s="1"/>
      <c r="D36" s="1"/>
      <c r="E36" s="1"/>
      <c r="F36" s="1"/>
    </row>
    <row r="37" spans="1:6" x14ac:dyDescent="0.3">
      <c r="A37" s="7" t="s">
        <v>70</v>
      </c>
      <c r="B37" s="12">
        <v>0.08</v>
      </c>
      <c r="C37" s="1"/>
      <c r="D37" s="1"/>
      <c r="E37" s="1"/>
      <c r="F37" s="1"/>
    </row>
    <row r="38" spans="1:6" x14ac:dyDescent="0.3">
      <c r="A38" s="7" t="s">
        <v>71</v>
      </c>
      <c r="B38" s="8">
        <v>50</v>
      </c>
      <c r="C38" s="1"/>
      <c r="D38" s="1"/>
      <c r="E38" s="1"/>
      <c r="F38" s="1"/>
    </row>
    <row r="39" spans="1:6" x14ac:dyDescent="0.3">
      <c r="A39" s="7" t="s">
        <v>72</v>
      </c>
      <c r="B39" s="12">
        <v>0.15</v>
      </c>
      <c r="C39" s="1"/>
      <c r="D39" s="1"/>
      <c r="E39" s="1"/>
      <c r="F39" s="1"/>
    </row>
    <row r="40" spans="1:6" x14ac:dyDescent="0.3">
      <c r="A40" s="7" t="s">
        <v>73</v>
      </c>
      <c r="B40" s="8">
        <v>22000000</v>
      </c>
      <c r="C40" s="1"/>
      <c r="D40" s="1"/>
      <c r="E40" s="1"/>
      <c r="F40" s="1"/>
    </row>
    <row r="41" spans="1:6" x14ac:dyDescent="0.3">
      <c r="A41" s="7" t="s">
        <v>74</v>
      </c>
      <c r="B41" s="8">
        <v>423591</v>
      </c>
      <c r="C41" s="1"/>
      <c r="D41" s="1"/>
      <c r="E41" s="1"/>
      <c r="F41" s="7" t="s">
        <v>75</v>
      </c>
    </row>
    <row r="42" spans="1:6" x14ac:dyDescent="0.3">
      <c r="A42" s="7" t="s">
        <v>76</v>
      </c>
      <c r="B42" s="8">
        <v>3500</v>
      </c>
      <c r="C42" s="1"/>
      <c r="D42" s="1"/>
      <c r="E42" s="1"/>
      <c r="F42" s="1"/>
    </row>
    <row r="43" spans="1:6" x14ac:dyDescent="0.3">
      <c r="A43" s="7" t="s">
        <v>77</v>
      </c>
      <c r="B43" s="8">
        <v>16139</v>
      </c>
      <c r="C43" s="1"/>
      <c r="D43" s="1"/>
      <c r="E43" s="1"/>
      <c r="F43" s="1"/>
    </row>
    <row r="44" spans="1:6" x14ac:dyDescent="0.3">
      <c r="A44" s="7" t="s">
        <v>78</v>
      </c>
      <c r="B44" s="8">
        <v>4418</v>
      </c>
      <c r="C44" s="1"/>
      <c r="D44" s="1"/>
      <c r="E44" s="1"/>
      <c r="F44" s="1"/>
    </row>
    <row r="45" spans="1:6" x14ac:dyDescent="0.3">
      <c r="A45" s="7" t="s">
        <v>79</v>
      </c>
      <c r="B45" s="8">
        <v>12017</v>
      </c>
      <c r="C45" s="1"/>
      <c r="D45" s="1"/>
      <c r="E45" s="1"/>
      <c r="F45" s="1"/>
    </row>
    <row r="46" spans="1:6" x14ac:dyDescent="0.3">
      <c r="A46" s="7" t="s">
        <v>80</v>
      </c>
      <c r="B46" s="8">
        <v>35836</v>
      </c>
      <c r="C46" s="1"/>
      <c r="D46" s="1"/>
      <c r="E46" s="1"/>
      <c r="F46" s="1"/>
    </row>
    <row r="47" spans="1:6" x14ac:dyDescent="0.3">
      <c r="A47" s="7" t="s">
        <v>81</v>
      </c>
      <c r="B47" s="8">
        <v>12474</v>
      </c>
      <c r="C47" s="1"/>
      <c r="D47" s="1"/>
      <c r="E47" s="1"/>
      <c r="F47" s="1"/>
    </row>
    <row r="48" spans="1:6" x14ac:dyDescent="0.3">
      <c r="A48" s="6" t="s">
        <v>82</v>
      </c>
      <c r="B48" s="11">
        <v>8213</v>
      </c>
      <c r="C48" s="1"/>
      <c r="D48" s="1"/>
      <c r="E48" s="1"/>
      <c r="F48" s="1"/>
    </row>
    <row r="49" spans="1:6" x14ac:dyDescent="0.3">
      <c r="A49" s="7" t="s">
        <v>83</v>
      </c>
      <c r="B49" s="8">
        <v>27703</v>
      </c>
      <c r="C49" s="1"/>
      <c r="D49" s="1"/>
      <c r="E49" s="1"/>
      <c r="F49" s="1"/>
    </row>
    <row r="50" spans="1:6" x14ac:dyDescent="0.3">
      <c r="A50" s="7" t="s">
        <v>84</v>
      </c>
      <c r="B50" s="8">
        <v>73680</v>
      </c>
      <c r="C50" s="1"/>
      <c r="D50" s="1"/>
      <c r="E50" s="1"/>
      <c r="F50" s="1"/>
    </row>
    <row r="51" spans="1:6" x14ac:dyDescent="0.3">
      <c r="A51" s="7" t="s">
        <v>85</v>
      </c>
      <c r="B51" s="12">
        <v>0.04</v>
      </c>
      <c r="C51" s="1"/>
      <c r="D51" s="1"/>
      <c r="E51" s="1"/>
      <c r="F51" s="1"/>
    </row>
    <row r="52" spans="1:6" x14ac:dyDescent="0.3">
      <c r="A52" s="7" t="s">
        <v>86</v>
      </c>
      <c r="B52" s="8">
        <v>1.3</v>
      </c>
      <c r="C52" s="1"/>
      <c r="D52" s="1"/>
      <c r="E52" s="1"/>
      <c r="F52" s="1"/>
    </row>
    <row r="53" spans="1:6" x14ac:dyDescent="0.3">
      <c r="A53" s="6" t="s">
        <v>87</v>
      </c>
      <c r="B53" s="13">
        <v>5.1999999999999998E-2</v>
      </c>
      <c r="C53" s="1"/>
      <c r="D53" s="1"/>
      <c r="E53" s="1"/>
      <c r="F53" s="1"/>
    </row>
    <row r="54" spans="1:6" x14ac:dyDescent="0.3">
      <c r="A54" s="7" t="s">
        <v>88</v>
      </c>
      <c r="B54" s="12">
        <v>0.05</v>
      </c>
      <c r="C54" s="1"/>
      <c r="D54" s="1"/>
      <c r="E54" s="1"/>
      <c r="F54" s="1"/>
    </row>
    <row r="55" spans="1:6" x14ac:dyDescent="0.3">
      <c r="A55" s="7" t="s">
        <v>89</v>
      </c>
      <c r="B55" s="14">
        <f>ROUND((B48/(B48+B50))*B54*(1-B59)+(B50/(B48+B50))*(B51+B52*B53),2)</f>
        <v>0.1</v>
      </c>
      <c r="C55" s="1"/>
      <c r="D55" s="1"/>
      <c r="E55" s="1"/>
      <c r="F55" s="1"/>
    </row>
    <row r="56" spans="1:6" x14ac:dyDescent="0.3">
      <c r="A56" s="7" t="s">
        <v>90</v>
      </c>
      <c r="B56" s="8">
        <v>2600</v>
      </c>
      <c r="C56" s="1"/>
      <c r="D56" s="1"/>
      <c r="E56" s="1"/>
      <c r="F56" s="1"/>
    </row>
    <row r="57" spans="1:6" x14ac:dyDescent="0.3">
      <c r="A57" s="7" t="s">
        <v>91</v>
      </c>
      <c r="B57" s="8">
        <v>100</v>
      </c>
      <c r="C57" s="1"/>
      <c r="D57" s="1"/>
      <c r="E57" s="1"/>
      <c r="F57" s="1"/>
    </row>
    <row r="58" spans="1:6" x14ac:dyDescent="0.3">
      <c r="A58" s="7" t="s">
        <v>92</v>
      </c>
      <c r="B58" s="8">
        <v>520</v>
      </c>
      <c r="C58" s="1"/>
      <c r="D58" s="1"/>
      <c r="E58" s="1"/>
      <c r="F58" s="1"/>
    </row>
    <row r="59" spans="1:6" x14ac:dyDescent="0.3">
      <c r="A59" s="7" t="s">
        <v>93</v>
      </c>
      <c r="B59" s="12">
        <v>0.21</v>
      </c>
      <c r="C59" s="1"/>
      <c r="D59" s="1"/>
      <c r="E59" s="1"/>
      <c r="F59" s="1"/>
    </row>
    <row r="60" spans="1:6" x14ac:dyDescent="0.3">
      <c r="A60" s="1"/>
      <c r="B60" s="1"/>
      <c r="C60" s="1"/>
      <c r="D60" s="1"/>
      <c r="E60" s="1"/>
      <c r="F60" s="1"/>
    </row>
    <row r="61" spans="1:6" x14ac:dyDescent="0.3">
      <c r="A61" s="7" t="s">
        <v>94</v>
      </c>
      <c r="B61" s="7" t="s">
        <v>95</v>
      </c>
      <c r="C61" s="7" t="s">
        <v>96</v>
      </c>
      <c r="D61" s="7" t="s">
        <v>97</v>
      </c>
      <c r="E61" s="7" t="s">
        <v>98</v>
      </c>
      <c r="F61" s="7" t="s">
        <v>99</v>
      </c>
    </row>
    <row r="62" spans="1:6" x14ac:dyDescent="0.3">
      <c r="A62" s="7" t="s">
        <v>100</v>
      </c>
      <c r="B62" s="8">
        <v>107848</v>
      </c>
      <c r="C62" s="8">
        <v>103033</v>
      </c>
      <c r="D62" s="8">
        <v>98217</v>
      </c>
      <c r="E62" s="9">
        <v>93402</v>
      </c>
      <c r="F62" s="9">
        <v>88586</v>
      </c>
    </row>
    <row r="63" spans="1:6" x14ac:dyDescent="0.3">
      <c r="A63" s="1"/>
      <c r="B63" s="1"/>
      <c r="C63" s="1"/>
      <c r="D63" s="1"/>
      <c r="E63" s="1"/>
      <c r="F63" s="1"/>
    </row>
    <row r="64" spans="1:6" x14ac:dyDescent="0.3">
      <c r="A64" s="15" t="s">
        <v>101</v>
      </c>
      <c r="B64" s="15" t="s">
        <v>102</v>
      </c>
      <c r="C64" s="2"/>
      <c r="D64" s="2"/>
      <c r="E64" s="2"/>
      <c r="F64" s="2"/>
    </row>
    <row r="65" spans="1:6" ht="86.4" customHeight="1" x14ac:dyDescent="0.3">
      <c r="A65" s="15" t="s">
        <v>103</v>
      </c>
      <c r="B65" s="15" t="s">
        <v>104</v>
      </c>
      <c r="C65" s="1"/>
      <c r="D65" s="1"/>
      <c r="E65" s="1"/>
      <c r="F65" s="1"/>
    </row>
    <row r="66" spans="1:6" ht="72" customHeight="1" x14ac:dyDescent="0.3">
      <c r="A66" s="15" t="s">
        <v>105</v>
      </c>
      <c r="B66" s="15" t="s">
        <v>106</v>
      </c>
      <c r="C66" s="1"/>
      <c r="D66" s="1"/>
      <c r="E66" s="1"/>
      <c r="F66" s="1"/>
    </row>
    <row r="67" spans="1:6" ht="57.6" customHeight="1" x14ac:dyDescent="0.3">
      <c r="A67" s="15" t="s">
        <v>107</v>
      </c>
      <c r="B67" s="15" t="s">
        <v>108</v>
      </c>
      <c r="C67" s="1"/>
      <c r="D67" s="1"/>
      <c r="E67" s="1"/>
      <c r="F67" s="1"/>
    </row>
    <row r="68" spans="1:6" ht="129.6" customHeight="1" x14ac:dyDescent="0.3">
      <c r="A68" s="15" t="s">
        <v>109</v>
      </c>
      <c r="B68" s="15" t="s">
        <v>110</v>
      </c>
      <c r="C68" s="1"/>
      <c r="D68" s="1"/>
      <c r="E68" s="1"/>
      <c r="F68" s="1"/>
    </row>
    <row r="70" spans="1:6" ht="28.8" customHeight="1" x14ac:dyDescent="0.3">
      <c r="A70" s="7" t="s">
        <v>111</v>
      </c>
      <c r="B70" s="9">
        <f>B5*1000000/B4</f>
        <v>50152.5246481176</v>
      </c>
      <c r="C70" s="9">
        <f>C5*1000000/C4</f>
        <v>49237.125748502993</v>
      </c>
      <c r="D70" s="9">
        <f>D5*1000000/D4</f>
        <v>49222.919042189278</v>
      </c>
      <c r="E70" s="7" t="s">
        <v>17</v>
      </c>
      <c r="F70" s="7" t="s">
        <v>112</v>
      </c>
    </row>
    <row r="71" spans="1:6" ht="28.8" customHeight="1" x14ac:dyDescent="0.3">
      <c r="A71" s="7" t="s">
        <v>113</v>
      </c>
      <c r="B71" s="9">
        <f>B100</f>
        <v>12771.000000000002</v>
      </c>
      <c r="C71" s="9">
        <f>C100</f>
        <v>12796.999999999995</v>
      </c>
      <c r="D71" s="9">
        <f>D100</f>
        <v>13437</v>
      </c>
      <c r="E71" s="7" t="s">
        <v>114</v>
      </c>
      <c r="F71" s="7" t="s">
        <v>115</v>
      </c>
    </row>
    <row r="72" spans="1:6" ht="28.8" customHeight="1" x14ac:dyDescent="0.3">
      <c r="A72" s="7" t="s">
        <v>116</v>
      </c>
      <c r="B72" s="9">
        <f>B71-B101+B102</f>
        <v>9738.7510179999972</v>
      </c>
      <c r="C72" s="9">
        <f>C71-C101+C102</f>
        <v>9013.1299999999992</v>
      </c>
      <c r="D72" s="9">
        <f>D71-D101+D102</f>
        <v>9702.7980000000098</v>
      </c>
      <c r="E72" s="7" t="s">
        <v>114</v>
      </c>
      <c r="F72" s="7" t="s">
        <v>117</v>
      </c>
    </row>
    <row r="73" spans="1:6" ht="43.2" customHeight="1" x14ac:dyDescent="0.3">
      <c r="A73" s="7" t="s">
        <v>118</v>
      </c>
      <c r="B73" s="9">
        <f>B72*B104</f>
        <v>6183.217216799997</v>
      </c>
      <c r="C73" s="9">
        <f>C72*C104</f>
        <v>5731.6260055999992</v>
      </c>
      <c r="D73" s="9">
        <f>D72*D104</f>
        <v>6133.5881779999982</v>
      </c>
      <c r="E73" s="7" t="s">
        <v>114</v>
      </c>
      <c r="F73" s="7" t="s">
        <v>119</v>
      </c>
    </row>
    <row r="74" spans="1:6" ht="28.8" customHeight="1" x14ac:dyDescent="0.3">
      <c r="A74" s="7" t="s">
        <v>120</v>
      </c>
      <c r="B74" s="9">
        <f>B72*B105</f>
        <v>970.63773359999971</v>
      </c>
      <c r="C74" s="9">
        <f>C72*C105</f>
        <v>893.34137480000061</v>
      </c>
      <c r="D74" s="9">
        <f>D72*D105</f>
        <v>961.98730789999991</v>
      </c>
      <c r="E74" s="7" t="s">
        <v>114</v>
      </c>
      <c r="F74" s="7" t="s">
        <v>121</v>
      </c>
    </row>
    <row r="75" spans="1:6" ht="28.8" customHeight="1" x14ac:dyDescent="0.3">
      <c r="A75" s="7" t="s">
        <v>122</v>
      </c>
      <c r="B75" s="9">
        <f>B72*B106</f>
        <v>2911.9132007999988</v>
      </c>
      <c r="C75" s="9">
        <f>C72*C106</f>
        <v>2680.024124400004</v>
      </c>
      <c r="D75" s="9">
        <f>D72*D106</f>
        <v>2885.9619237000006</v>
      </c>
      <c r="E75" s="7" t="s">
        <v>114</v>
      </c>
      <c r="F75" s="7" t="s">
        <v>123</v>
      </c>
    </row>
    <row r="76" spans="1:6" ht="28.8" customHeight="1" x14ac:dyDescent="0.3">
      <c r="A76" s="7" t="s">
        <v>124</v>
      </c>
      <c r="B76" s="8">
        <v>3960</v>
      </c>
      <c r="C76" s="8">
        <v>3335</v>
      </c>
      <c r="D76" s="8">
        <v>2918</v>
      </c>
      <c r="E76" s="7" t="s">
        <v>17</v>
      </c>
      <c r="F76" s="7" t="s">
        <v>125</v>
      </c>
    </row>
    <row r="77" spans="1:6" ht="28.8" customHeight="1" x14ac:dyDescent="0.3">
      <c r="A77" s="7" t="s">
        <v>126</v>
      </c>
      <c r="B77" s="9">
        <f>B17-B48*B54</f>
        <v>-72.650000000000034</v>
      </c>
      <c r="C77" s="10">
        <f>C17-Statements!I16*B54</f>
        <v>-100.65000000000003</v>
      </c>
      <c r="D77" s="10">
        <f>D17-Statements!I17*B54</f>
        <v>-90.650000000000091</v>
      </c>
      <c r="E77" s="7" t="s">
        <v>114</v>
      </c>
      <c r="F77" s="7" t="s">
        <v>127</v>
      </c>
    </row>
    <row r="79" spans="1:6" x14ac:dyDescent="0.3">
      <c r="A79" s="6" t="s">
        <v>128</v>
      </c>
      <c r="B79" s="6" t="s">
        <v>63</v>
      </c>
      <c r="E79" s="6" t="s">
        <v>6</v>
      </c>
      <c r="F79" s="6" t="s">
        <v>7</v>
      </c>
    </row>
    <row r="80" spans="1:6" ht="28.8" customHeight="1" x14ac:dyDescent="0.3">
      <c r="A80" s="7" t="s">
        <v>129</v>
      </c>
      <c r="B80" s="8">
        <v>368784</v>
      </c>
      <c r="E80" s="7" t="s">
        <v>130</v>
      </c>
      <c r="F80" s="7" t="s">
        <v>131</v>
      </c>
    </row>
    <row r="81" spans="1:6" ht="28.8" customHeight="1" x14ac:dyDescent="0.3">
      <c r="A81" s="7" t="s">
        <v>132</v>
      </c>
      <c r="B81" s="8">
        <v>49652.5246481176</v>
      </c>
      <c r="E81" s="7" t="s">
        <v>130</v>
      </c>
      <c r="F81" s="7" t="s">
        <v>131</v>
      </c>
    </row>
    <row r="82" spans="1:6" ht="28.8" customHeight="1" x14ac:dyDescent="0.3">
      <c r="A82" s="7" t="s">
        <v>133</v>
      </c>
      <c r="B82" s="16">
        <v>1.0069999999999999</v>
      </c>
      <c r="E82" s="7" t="s">
        <v>130</v>
      </c>
      <c r="F82" s="7" t="s">
        <v>131</v>
      </c>
    </row>
    <row r="83" spans="1:6" ht="28.8" customHeight="1" x14ac:dyDescent="0.3">
      <c r="A83" s="7" t="s">
        <v>134</v>
      </c>
      <c r="B83" s="8">
        <v>25354</v>
      </c>
      <c r="E83" s="7" t="s">
        <v>130</v>
      </c>
      <c r="F83" s="7" t="s">
        <v>131</v>
      </c>
    </row>
    <row r="84" spans="1:6" ht="28.8" customHeight="1" x14ac:dyDescent="0.3">
      <c r="A84" s="7" t="s">
        <v>135</v>
      </c>
      <c r="B84" s="16">
        <v>51</v>
      </c>
      <c r="E84" s="7" t="s">
        <v>130</v>
      </c>
      <c r="F84" s="7" t="s">
        <v>131</v>
      </c>
    </row>
    <row r="85" spans="1:6" ht="28.8" customHeight="1" x14ac:dyDescent="0.3">
      <c r="A85" s="7" t="s">
        <v>136</v>
      </c>
      <c r="B85" s="16">
        <v>83.6</v>
      </c>
      <c r="E85" s="7" t="s">
        <v>130</v>
      </c>
      <c r="F85" s="7" t="s">
        <v>131</v>
      </c>
    </row>
    <row r="86" spans="1:6" ht="28.8" customHeight="1" x14ac:dyDescent="0.3">
      <c r="A86" s="7" t="s">
        <v>137</v>
      </c>
      <c r="B86" s="16">
        <v>137.77325013009889</v>
      </c>
      <c r="E86" s="7" t="s">
        <v>130</v>
      </c>
      <c r="F86" s="7" t="s">
        <v>131</v>
      </c>
    </row>
    <row r="87" spans="1:6" ht="28.8" customHeight="1" x14ac:dyDescent="0.3">
      <c r="A87" s="7" t="s">
        <v>138</v>
      </c>
      <c r="B87" s="8">
        <v>2306.0300000000002</v>
      </c>
      <c r="E87" s="7" t="s">
        <v>130</v>
      </c>
      <c r="F87" s="7" t="s">
        <v>131</v>
      </c>
    </row>
    <row r="88" spans="1:6" ht="28.8" customHeight="1" x14ac:dyDescent="0.3">
      <c r="A88" s="7" t="s">
        <v>139</v>
      </c>
      <c r="B88" s="16">
        <v>490.76203648978782</v>
      </c>
      <c r="E88" s="7" t="s">
        <v>130</v>
      </c>
      <c r="F88" s="7" t="s">
        <v>131</v>
      </c>
    </row>
    <row r="89" spans="1:6" ht="28.8" customHeight="1" x14ac:dyDescent="0.3">
      <c r="A89" s="7" t="s">
        <v>140</v>
      </c>
      <c r="B89" s="8">
        <v>1105.3187499999999</v>
      </c>
      <c r="E89" s="7" t="s">
        <v>130</v>
      </c>
      <c r="F89" s="7" t="s">
        <v>131</v>
      </c>
    </row>
    <row r="91" spans="1:6" ht="144" customHeight="1" x14ac:dyDescent="0.3">
      <c r="A91" s="15" t="s">
        <v>141</v>
      </c>
      <c r="B91" s="15" t="s">
        <v>142</v>
      </c>
    </row>
    <row r="92" spans="1:6" ht="129.6" customHeight="1" x14ac:dyDescent="0.3">
      <c r="A92" s="15" t="s">
        <v>143</v>
      </c>
      <c r="B92" s="15" t="s">
        <v>144</v>
      </c>
    </row>
    <row r="93" spans="1:6" ht="43.2" customHeight="1" x14ac:dyDescent="0.3">
      <c r="A93" s="15" t="s">
        <v>145</v>
      </c>
      <c r="B93" s="15" t="s">
        <v>146</v>
      </c>
    </row>
    <row r="94" spans="1:6" ht="72" customHeight="1" x14ac:dyDescent="0.3">
      <c r="A94" s="15" t="s">
        <v>147</v>
      </c>
      <c r="B94" s="15" t="s">
        <v>148</v>
      </c>
    </row>
    <row r="96" spans="1:6" x14ac:dyDescent="0.3">
      <c r="A96" s="6" t="s">
        <v>149</v>
      </c>
      <c r="B96" s="13">
        <v>0.08</v>
      </c>
      <c r="C96" s="13">
        <v>0.1</v>
      </c>
      <c r="D96" s="13">
        <v>0.12</v>
      </c>
      <c r="E96" s="6" t="s">
        <v>17</v>
      </c>
      <c r="F96" s="6" t="s">
        <v>150</v>
      </c>
    </row>
    <row r="98" spans="1:6" ht="57.6" customHeight="1" x14ac:dyDescent="0.3">
      <c r="A98" s="7" t="s">
        <v>151</v>
      </c>
      <c r="B98" s="17" t="s">
        <v>152</v>
      </c>
      <c r="E98" s="7" t="s">
        <v>153</v>
      </c>
      <c r="F98" s="7" t="s">
        <v>154</v>
      </c>
    </row>
    <row r="99" spans="1:6" ht="28.8" customHeight="1" x14ac:dyDescent="0.3">
      <c r="A99" s="7" t="s">
        <v>155</v>
      </c>
      <c r="B99" s="12">
        <v>0.86532316745230786</v>
      </c>
      <c r="C99" s="12">
        <v>0.86532734180145865</v>
      </c>
      <c r="D99" s="12">
        <v>0.86532563593721812</v>
      </c>
      <c r="E99" s="7" t="s">
        <v>156</v>
      </c>
      <c r="F99" s="7" t="s">
        <v>157</v>
      </c>
    </row>
    <row r="100" spans="1:6" ht="28.8" customHeight="1" x14ac:dyDescent="0.3">
      <c r="A100" s="7" t="s">
        <v>158</v>
      </c>
      <c r="B100" s="9">
        <f>B6*(1-B99)</f>
        <v>12771.000000000002</v>
      </c>
      <c r="C100" s="9">
        <f>C6*(1-C99)</f>
        <v>12796.999999999995</v>
      </c>
      <c r="D100" s="9">
        <f>D6*(1-D99)</f>
        <v>13437</v>
      </c>
      <c r="E100" s="7" t="s">
        <v>159</v>
      </c>
      <c r="F100" s="7" t="s">
        <v>160</v>
      </c>
    </row>
    <row r="101" spans="1:6" x14ac:dyDescent="0.3">
      <c r="A101" s="7" t="s">
        <v>161</v>
      </c>
      <c r="B101" s="8">
        <v>3802</v>
      </c>
      <c r="C101" s="8">
        <v>3784</v>
      </c>
      <c r="D101" s="8">
        <v>3734</v>
      </c>
      <c r="E101" s="7" t="s">
        <v>17</v>
      </c>
      <c r="F101" s="7" t="s">
        <v>162</v>
      </c>
    </row>
    <row r="102" spans="1:6" ht="28.8" customHeight="1" x14ac:dyDescent="0.3">
      <c r="A102" s="7" t="s">
        <v>163</v>
      </c>
      <c r="B102" s="8">
        <v>769.75101799999538</v>
      </c>
      <c r="C102" s="8">
        <v>0.13000000000465661</v>
      </c>
      <c r="D102" s="8">
        <v>-0.20199999999022111</v>
      </c>
      <c r="E102" s="7" t="s">
        <v>156</v>
      </c>
      <c r="F102" s="7" t="s">
        <v>164</v>
      </c>
    </row>
    <row r="103" spans="1:6" x14ac:dyDescent="0.3">
      <c r="A103" s="7" t="s">
        <v>165</v>
      </c>
      <c r="B103" s="9">
        <f>B14-B11</f>
        <v>784</v>
      </c>
      <c r="C103" s="9">
        <f>C14-C11</f>
        <v>825</v>
      </c>
      <c r="D103" s="9">
        <f>D14-D11</f>
        <v>729</v>
      </c>
      <c r="E103" s="7" t="s">
        <v>159</v>
      </c>
      <c r="F103" s="7" t="s">
        <v>166</v>
      </c>
    </row>
    <row r="104" spans="1:6" ht="28.8" customHeight="1" x14ac:dyDescent="0.3">
      <c r="A104" s="7" t="s">
        <v>167</v>
      </c>
      <c r="B104" s="12">
        <v>0.63490864540757264</v>
      </c>
      <c r="C104" s="12">
        <v>0.63591959791992347</v>
      </c>
      <c r="D104" s="12">
        <v>0.63214633325356173</v>
      </c>
      <c r="E104" s="7" t="s">
        <v>156</v>
      </c>
      <c r="F104" s="7" t="s">
        <v>168</v>
      </c>
    </row>
    <row r="105" spans="1:6" ht="28.8" customHeight="1" x14ac:dyDescent="0.3">
      <c r="A105" s="7" t="s">
        <v>169</v>
      </c>
      <c r="B105" s="12">
        <v>9.9667578707575907E-2</v>
      </c>
      <c r="C105" s="12">
        <v>9.9115554174853876E-2</v>
      </c>
      <c r="D105" s="12">
        <v>9.9145350433967494E-2</v>
      </c>
      <c r="E105" s="7" t="s">
        <v>156</v>
      </c>
      <c r="F105" s="7" t="s">
        <v>170</v>
      </c>
    </row>
    <row r="106" spans="1:6" ht="28.8" customHeight="1" x14ac:dyDescent="0.3">
      <c r="A106" s="7" t="s">
        <v>171</v>
      </c>
      <c r="B106" s="12">
        <v>0.29900273612272771</v>
      </c>
      <c r="C106" s="12">
        <v>0.29734666252456188</v>
      </c>
      <c r="D106" s="12">
        <v>0.29743605130190259</v>
      </c>
      <c r="E106" s="7" t="s">
        <v>156</v>
      </c>
      <c r="F106" s="7" t="s">
        <v>172</v>
      </c>
    </row>
    <row r="109" spans="1:6" ht="28.8" customHeight="1" x14ac:dyDescent="0.3">
      <c r="A109" s="7" t="s">
        <v>173</v>
      </c>
      <c r="B109" s="8">
        <v>20.5</v>
      </c>
      <c r="E109" s="7" t="s">
        <v>174</v>
      </c>
      <c r="F109" s="7" t="s">
        <v>175</v>
      </c>
    </row>
    <row r="110" spans="1:6" x14ac:dyDescent="0.3">
      <c r="A110" s="7" t="s">
        <v>176</v>
      </c>
      <c r="B110" s="10">
        <f>ROUND(SUM('Operating Budget'!AC4:AC15),0)</f>
        <v>0</v>
      </c>
      <c r="E110" s="7" t="s">
        <v>159</v>
      </c>
      <c r="F110" s="7" t="s">
        <v>177</v>
      </c>
    </row>
    <row r="111" spans="1:6" x14ac:dyDescent="0.3">
      <c r="A111" s="7" t="s">
        <v>178</v>
      </c>
      <c r="B111" s="10">
        <f>ROUNDUP('Operating Budget'!AC15,0)</f>
        <v>0</v>
      </c>
      <c r="E111" s="7" t="s">
        <v>159</v>
      </c>
      <c r="F111" s="7" t="s">
        <v>177</v>
      </c>
    </row>
    <row r="112" spans="1:6" ht="43.2" customHeight="1" x14ac:dyDescent="0.3">
      <c r="A112" s="7" t="s">
        <v>179</v>
      </c>
      <c r="B112" s="17" t="s">
        <v>180</v>
      </c>
      <c r="E112" s="7" t="s">
        <v>181</v>
      </c>
      <c r="F112" s="7" t="s">
        <v>182</v>
      </c>
    </row>
    <row r="113" spans="1:6" ht="72" customHeight="1" x14ac:dyDescent="0.3">
      <c r="A113" s="7" t="s">
        <v>183</v>
      </c>
      <c r="B113" s="17" t="s">
        <v>184</v>
      </c>
      <c r="E113" s="7" t="s">
        <v>181</v>
      </c>
      <c r="F113" s="7" t="s">
        <v>185</v>
      </c>
    </row>
    <row r="114" spans="1:6" ht="57.6" customHeight="1" x14ac:dyDescent="0.3">
      <c r="A114" s="7" t="s">
        <v>186</v>
      </c>
      <c r="B114" s="17" t="s">
        <v>187</v>
      </c>
      <c r="E114" s="7" t="s">
        <v>181</v>
      </c>
      <c r="F114" s="7" t="s">
        <v>188</v>
      </c>
    </row>
    <row r="115" spans="1:6" ht="43.2" customHeight="1" x14ac:dyDescent="0.3">
      <c r="A115" s="7" t="s">
        <v>189</v>
      </c>
      <c r="B115" s="17" t="s">
        <v>190</v>
      </c>
      <c r="E115" s="7" t="s">
        <v>181</v>
      </c>
      <c r="F115" s="7" t="s">
        <v>191</v>
      </c>
    </row>
    <row r="116" spans="1:6" x14ac:dyDescent="0.3">
      <c r="A116" s="6" t="s">
        <v>192</v>
      </c>
      <c r="B116" s="13">
        <v>0.6</v>
      </c>
      <c r="C116" s="13">
        <f>B116</f>
        <v>0.6</v>
      </c>
      <c r="D116" s="13">
        <f>B116</f>
        <v>0.6</v>
      </c>
      <c r="E116" s="6" t="s">
        <v>17</v>
      </c>
      <c r="F116" s="6" t="s">
        <v>193</v>
      </c>
    </row>
    <row r="117" spans="1:6" x14ac:dyDescent="0.3">
      <c r="A117" s="7" t="s">
        <v>194</v>
      </c>
      <c r="B117" s="12">
        <v>0.1</v>
      </c>
      <c r="C117" s="14">
        <f>B117</f>
        <v>0.1</v>
      </c>
      <c r="D117" s="14">
        <f>B117</f>
        <v>0.1</v>
      </c>
      <c r="E117" s="7" t="s">
        <v>17</v>
      </c>
      <c r="F117" s="7" t="s">
        <v>195</v>
      </c>
    </row>
    <row r="118" spans="1:6" x14ac:dyDescent="0.3">
      <c r="A118" s="7" t="s">
        <v>196</v>
      </c>
      <c r="B118" s="12">
        <v>0.3</v>
      </c>
      <c r="C118" s="14">
        <f>B118</f>
        <v>0.3</v>
      </c>
      <c r="D118" s="14">
        <f>B118</f>
        <v>0.3</v>
      </c>
      <c r="E118" s="7" t="s">
        <v>17</v>
      </c>
      <c r="F118" s="7" t="s">
        <v>197</v>
      </c>
    </row>
    <row r="119" spans="1:6" x14ac:dyDescent="0.3">
      <c r="A119" s="7" t="s">
        <v>198</v>
      </c>
      <c r="B119" s="17">
        <v>41558</v>
      </c>
      <c r="C119" s="17">
        <v>41261</v>
      </c>
      <c r="D119" s="17">
        <v>41113</v>
      </c>
      <c r="E119" s="7" t="s">
        <v>17</v>
      </c>
      <c r="F119" s="7" t="s">
        <v>199</v>
      </c>
    </row>
    <row r="120" spans="1:6" ht="28.8" customHeight="1" x14ac:dyDescent="0.3">
      <c r="A120" s="7" t="s">
        <v>200</v>
      </c>
      <c r="B120" s="17">
        <v>1232</v>
      </c>
      <c r="E120" s="7" t="s">
        <v>201</v>
      </c>
      <c r="F120" s="7" t="s">
        <v>202</v>
      </c>
    </row>
    <row r="121" spans="1:6" ht="28.8" customHeight="1" x14ac:dyDescent="0.3">
      <c r="A121" s="7" t="s">
        <v>203</v>
      </c>
      <c r="B121" s="17" t="s">
        <v>204</v>
      </c>
      <c r="E121" s="7" t="s">
        <v>205</v>
      </c>
      <c r="F121" s="7" t="s">
        <v>206</v>
      </c>
    </row>
    <row r="122" spans="1:6" ht="28.8" x14ac:dyDescent="0.3">
      <c r="A122" s="6" t="s">
        <v>207</v>
      </c>
      <c r="B122" s="30">
        <v>0.9</v>
      </c>
      <c r="C122" s="30">
        <v>1</v>
      </c>
      <c r="D122" s="30">
        <v>1.1000000000000001</v>
      </c>
      <c r="E122" s="6" t="s">
        <v>17</v>
      </c>
      <c r="F122" s="6" t="s">
        <v>208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0"/>
  <sheetViews>
    <sheetView showGridLines="0" workbookViewId="0">
      <pane ySplit="3" topLeftCell="A4" activePane="bottomLeft" state="frozen"/>
      <selection pane="bottomLeft"/>
    </sheetView>
  </sheetViews>
  <sheetFormatPr defaultRowHeight="14.4" x14ac:dyDescent="0.3"/>
  <cols>
    <col min="1" max="28" width="15" customWidth="1"/>
  </cols>
  <sheetData>
    <row r="1" spans="1:29" ht="42" customHeight="1" x14ac:dyDescent="0.3">
      <c r="A1" s="6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9" ht="36" customHeight="1" x14ac:dyDescent="0.3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9" ht="28.8" customHeight="1" x14ac:dyDescent="0.3">
      <c r="A3" s="6" t="s">
        <v>210</v>
      </c>
      <c r="B3" s="6" t="s">
        <v>211</v>
      </c>
      <c r="C3" s="6" t="s">
        <v>212</v>
      </c>
      <c r="D3" s="6" t="s">
        <v>213</v>
      </c>
      <c r="E3" s="6" t="s">
        <v>214</v>
      </c>
      <c r="F3" s="6" t="s">
        <v>215</v>
      </c>
      <c r="G3" s="6" t="s">
        <v>216</v>
      </c>
      <c r="H3" s="6" t="s">
        <v>217</v>
      </c>
      <c r="I3" s="6" t="s">
        <v>218</v>
      </c>
      <c r="J3" s="6" t="s">
        <v>219</v>
      </c>
      <c r="K3" s="6" t="s">
        <v>220</v>
      </c>
      <c r="L3" s="6" t="s">
        <v>221</v>
      </c>
      <c r="M3" s="6" t="s">
        <v>222</v>
      </c>
      <c r="N3" s="6" t="s">
        <v>23</v>
      </c>
      <c r="O3" s="6" t="s">
        <v>223</v>
      </c>
      <c r="P3" s="6" t="s">
        <v>224</v>
      </c>
      <c r="Q3" s="6" t="s">
        <v>225</v>
      </c>
      <c r="R3" s="6" t="s">
        <v>226</v>
      </c>
      <c r="S3" s="6" t="s">
        <v>227</v>
      </c>
      <c r="T3" s="6" t="s">
        <v>228</v>
      </c>
      <c r="U3" s="6" t="s">
        <v>229</v>
      </c>
      <c r="V3" s="6" t="s">
        <v>230</v>
      </c>
      <c r="W3" s="6" t="s">
        <v>231</v>
      </c>
      <c r="X3" s="6" t="s">
        <v>232</v>
      </c>
      <c r="Y3" s="6" t="s">
        <v>233</v>
      </c>
      <c r="Z3" s="6" t="s">
        <v>234</v>
      </c>
      <c r="AA3" s="6" t="s">
        <v>235</v>
      </c>
      <c r="AB3" s="6" t="s">
        <v>236</v>
      </c>
      <c r="AC3" s="6" t="s">
        <v>237</v>
      </c>
    </row>
    <row r="4" spans="1:29" x14ac:dyDescent="0.3">
      <c r="A4" s="18">
        <v>2025</v>
      </c>
      <c r="B4" s="9">
        <v>1</v>
      </c>
      <c r="C4" s="19">
        <f>Inputs!$B$32</f>
        <v>0.23</v>
      </c>
      <c r="D4" s="10">
        <f>ROUND(Inputs!$B$4*C4,0)</f>
        <v>376310</v>
      </c>
      <c r="E4" s="20">
        <f>Inputs!$B$5*1000000/Inputs!$B$4</f>
        <v>50152.5246481176</v>
      </c>
      <c r="F4" s="9">
        <f t="shared" ref="F4:F15" si="0">D4*E4/1000000</f>
        <v>18872.896550333135</v>
      </c>
      <c r="G4" s="10">
        <f>ROUND(D4*Inputs!$B$36,0)</f>
        <v>37631</v>
      </c>
      <c r="H4" s="10">
        <f>MAX(ROUND(D5*Inputs!$B$36,0),D5+H5-Inputs!$B$40/Inputs!$B$38)</f>
        <v>39267</v>
      </c>
      <c r="I4" s="9">
        <f t="shared" ref="I4:I15" si="1">D4+H4-G4</f>
        <v>377946</v>
      </c>
      <c r="J4" s="10">
        <f>I4*Inputs!$B$38</f>
        <v>18897300</v>
      </c>
      <c r="K4" s="10">
        <f>I4*Inputs!$B$7/1000000</f>
        <v>9424.0079207999988</v>
      </c>
      <c r="L4" s="10">
        <f>J4*Inputs!$B$8/1000000</f>
        <v>1570.6679867999999</v>
      </c>
      <c r="M4" s="10">
        <f>J4*Inputs!$B$9/1000000</f>
        <v>2597.0498151456541</v>
      </c>
      <c r="N4" s="10">
        <f>Inputs!$B$10/4</f>
        <v>2290</v>
      </c>
      <c r="O4" s="9">
        <f t="shared" ref="O4:O15" si="2">M4+N4</f>
        <v>4887.0498151456541</v>
      </c>
      <c r="P4" s="10">
        <f>(Inputs!$B$7+Inputs!$B$38*Inputs!$B$8)+((SUM(M4:M7)+Inputs!$B$10)*1000000/SUM(I4:I7))</f>
        <v>41558</v>
      </c>
      <c r="Q4" s="9">
        <f t="shared" ref="Q4:Q15" si="3">D4*P4/1000000</f>
        <v>15638.690979999999</v>
      </c>
      <c r="R4" s="10">
        <f>D4*(Inputs!$B$11*Inputs!$B$39*1000000/Inputs!$B$4)/1000000+Inputs!$B$11*(1-Inputs!$B$39)/4</f>
        <v>1247.3501527844076</v>
      </c>
      <c r="S4" s="9">
        <f t="shared" ref="S4:S15" si="4">F4-Q4-R4</f>
        <v>1986.8554175487277</v>
      </c>
      <c r="T4" s="10">
        <f>Inputs!$B$40-J4</f>
        <v>3102700</v>
      </c>
      <c r="U4" s="10">
        <f>ROUND(I4*Inputs!$B$37,0)</f>
        <v>30236</v>
      </c>
      <c r="V4" s="10">
        <f>ROUND(I5*Inputs!$B$37,0)</f>
        <v>31545</v>
      </c>
      <c r="W4" s="9">
        <f t="shared" ref="W4:W15" si="5">I4+V4-U4</f>
        <v>379255</v>
      </c>
      <c r="X4" s="10">
        <f>W4*Inputs!$B$7/1000000</f>
        <v>9456.6475740000005</v>
      </c>
      <c r="Y4" s="9">
        <f t="shared" ref="Y4:Y15" si="6">I4*P4/1000000</f>
        <v>15706.679867999999</v>
      </c>
      <c r="Z4" s="9">
        <f t="shared" ref="Z4:Z15" si="7">G4*P4/1000000</f>
        <v>1563.8690979999999</v>
      </c>
      <c r="AA4" s="9">
        <f t="shared" ref="AA4:AA15" si="8">H4*P4/1000000</f>
        <v>1631.857986</v>
      </c>
      <c r="AB4" s="9">
        <f t="shared" ref="AB4:AB15" si="9">Z4+Y4-AA4-Q4</f>
        <v>0</v>
      </c>
      <c r="AC4" s="10">
        <f>MAX(0,-T4)*Inputs!$B$109/1000000</f>
        <v>0</v>
      </c>
    </row>
    <row r="5" spans="1:29" x14ac:dyDescent="0.3">
      <c r="A5" s="18">
        <v>2025</v>
      </c>
      <c r="B5" s="9">
        <v>2</v>
      </c>
      <c r="C5" s="19">
        <f>Inputs!$B$33</f>
        <v>0.24</v>
      </c>
      <c r="D5" s="10">
        <f>ROUND(Inputs!$B$4*C5,0)</f>
        <v>392671</v>
      </c>
      <c r="E5" s="20">
        <f>Inputs!$B$5*1000000/Inputs!$B$4</f>
        <v>50152.5246481176</v>
      </c>
      <c r="F5" s="9">
        <f t="shared" si="0"/>
        <v>19693.442006100988</v>
      </c>
      <c r="G5" s="9">
        <f t="shared" ref="G5:G15" si="10">H4</f>
        <v>39267</v>
      </c>
      <c r="H5" s="10">
        <f>MAX(ROUND(D6*Inputs!$B$36,0),D6+H6-Inputs!$B$40/Inputs!$B$38)</f>
        <v>40903</v>
      </c>
      <c r="I5" s="9">
        <f t="shared" si="1"/>
        <v>394307</v>
      </c>
      <c r="J5" s="10">
        <f>I5*Inputs!$B$38</f>
        <v>19715350</v>
      </c>
      <c r="K5" s="10">
        <f>I5*Inputs!$B$7/1000000</f>
        <v>9831.9661835999996</v>
      </c>
      <c r="L5" s="10">
        <f>J5*Inputs!$B$8/1000000</f>
        <v>1638.6610306</v>
      </c>
      <c r="M5" s="10">
        <f>J5*Inputs!$B$9/1000000</f>
        <v>2709.4741615485746</v>
      </c>
      <c r="N5" s="10">
        <f>Inputs!$B$10/4</f>
        <v>2290</v>
      </c>
      <c r="O5" s="9">
        <f t="shared" si="2"/>
        <v>4999.4741615485746</v>
      </c>
      <c r="P5" s="10">
        <f>(Inputs!$B$7+Inputs!$B$38*Inputs!$B$8)+((SUM(M4:M7)+Inputs!$B$10)*1000000/SUM(I4:I7))</f>
        <v>41558</v>
      </c>
      <c r="Q5" s="9">
        <f t="shared" si="3"/>
        <v>16318.621418000001</v>
      </c>
      <c r="R5" s="10">
        <f>D5*(Inputs!$B$11*Inputs!$B$39*1000000/Inputs!$B$4)/1000000+Inputs!$B$11*(1-Inputs!$B$39)/4</f>
        <v>1254.9250185193221</v>
      </c>
      <c r="S5" s="9">
        <f t="shared" si="4"/>
        <v>2119.8955695816649</v>
      </c>
      <c r="T5" s="10">
        <f>Inputs!$B$40-J5</f>
        <v>2284650</v>
      </c>
      <c r="U5" s="9">
        <f t="shared" ref="U5:U15" si="11">V4</f>
        <v>31545</v>
      </c>
      <c r="V5" s="10">
        <f>ROUND(I6*Inputs!$B$37,0)</f>
        <v>33972</v>
      </c>
      <c r="W5" s="9">
        <f t="shared" si="5"/>
        <v>396734</v>
      </c>
      <c r="X5" s="10">
        <f>W5*Inputs!$B$7/1000000</f>
        <v>9892.4829431999988</v>
      </c>
      <c r="Y5" s="9">
        <f t="shared" si="6"/>
        <v>16386.610305999999</v>
      </c>
      <c r="Z5" s="9">
        <f t="shared" si="7"/>
        <v>1631.857986</v>
      </c>
      <c r="AA5" s="9">
        <f t="shared" si="8"/>
        <v>1699.8468740000001</v>
      </c>
      <c r="AB5" s="9">
        <f t="shared" si="9"/>
        <v>0</v>
      </c>
      <c r="AC5" s="10">
        <f>MAX(0,-T5)*Inputs!$B$109/1000000</f>
        <v>0</v>
      </c>
    </row>
    <row r="6" spans="1:29" x14ac:dyDescent="0.3">
      <c r="A6" s="18">
        <v>2025</v>
      </c>
      <c r="B6" s="9">
        <v>3</v>
      </c>
      <c r="C6" s="19">
        <f>Inputs!$B$34</f>
        <v>0.25</v>
      </c>
      <c r="D6" s="10">
        <f>ROUND(Inputs!$B$4*C6,0)</f>
        <v>409032</v>
      </c>
      <c r="E6" s="20">
        <f>Inputs!$B$5*1000000/Inputs!$B$4</f>
        <v>50152.5246481176</v>
      </c>
      <c r="F6" s="9">
        <f t="shared" si="0"/>
        <v>20513.987461868841</v>
      </c>
      <c r="G6" s="9">
        <f t="shared" si="10"/>
        <v>40903</v>
      </c>
      <c r="H6" s="10">
        <f>MAX(ROUND(D7*Inputs!$B$36,0),D7+H7-Inputs!$B$40/Inputs!$B$38)</f>
        <v>56526</v>
      </c>
      <c r="I6" s="9">
        <f t="shared" si="1"/>
        <v>424655</v>
      </c>
      <c r="J6" s="10">
        <f>I6*Inputs!$B$38</f>
        <v>21232750</v>
      </c>
      <c r="K6" s="10">
        <f>I6*Inputs!$B$7/1000000</f>
        <v>10588.687494</v>
      </c>
      <c r="L6" s="10">
        <f>J6*Inputs!$B$8/1000000</f>
        <v>1764.7812489999999</v>
      </c>
      <c r="M6" s="10">
        <f>J6*Inputs!$B$9/1000000</f>
        <v>2918.0099518203074</v>
      </c>
      <c r="N6" s="10">
        <f>Inputs!$B$10/4</f>
        <v>2290</v>
      </c>
      <c r="O6" s="9">
        <f t="shared" si="2"/>
        <v>5208.0099518203078</v>
      </c>
      <c r="P6" s="10">
        <f>(Inputs!$B$7+Inputs!$B$38*Inputs!$B$8)+((SUM(M4:M7)+Inputs!$B$10)*1000000/SUM(I4:I7))</f>
        <v>41558</v>
      </c>
      <c r="Q6" s="9">
        <f t="shared" si="3"/>
        <v>16998.551855999998</v>
      </c>
      <c r="R6" s="10">
        <f>D6*(Inputs!$B$11*Inputs!$B$39*1000000/Inputs!$B$4)/1000000+Inputs!$B$11*(1-Inputs!$B$39)/4</f>
        <v>1262.4998842542366</v>
      </c>
      <c r="S6" s="9">
        <f t="shared" si="4"/>
        <v>2252.9357216146063</v>
      </c>
      <c r="T6" s="10">
        <f>Inputs!$B$40-J6</f>
        <v>767250</v>
      </c>
      <c r="U6" s="9">
        <f t="shared" si="11"/>
        <v>33972</v>
      </c>
      <c r="V6" s="10">
        <f>ROUND(I7*Inputs!$B$37,0)</f>
        <v>35200</v>
      </c>
      <c r="W6" s="9">
        <f t="shared" si="5"/>
        <v>425883</v>
      </c>
      <c r="X6" s="10">
        <f>W6*Inputs!$B$7/1000000</f>
        <v>10619.307428399999</v>
      </c>
      <c r="Y6" s="9">
        <f t="shared" si="6"/>
        <v>17647.81249</v>
      </c>
      <c r="Z6" s="9">
        <f t="shared" si="7"/>
        <v>1699.8468740000001</v>
      </c>
      <c r="AA6" s="9">
        <f t="shared" si="8"/>
        <v>2349.1075080000001</v>
      </c>
      <c r="AB6" s="9">
        <f t="shared" si="9"/>
        <v>0</v>
      </c>
      <c r="AC6" s="10">
        <f>MAX(0,-T6)*Inputs!$B$109/1000000</f>
        <v>0</v>
      </c>
    </row>
    <row r="7" spans="1:29" x14ac:dyDescent="0.3">
      <c r="A7" s="18">
        <v>2025</v>
      </c>
      <c r="B7" s="9">
        <v>4</v>
      </c>
      <c r="C7" s="19">
        <f>Inputs!$B$35</f>
        <v>0.28000000000000003</v>
      </c>
      <c r="D7" s="10">
        <f>Inputs!$B$4-SUM(D4:D6)</f>
        <v>458116</v>
      </c>
      <c r="E7" s="20">
        <f>Inputs!$B$5*1000000/Inputs!$B$4</f>
        <v>50152.5246481176</v>
      </c>
      <c r="F7" s="9">
        <f t="shared" si="0"/>
        <v>22975.67398169704</v>
      </c>
      <c r="G7" s="9">
        <f t="shared" si="10"/>
        <v>56526</v>
      </c>
      <c r="H7" s="10">
        <f>MAX(ROUND(D8*Inputs!$B$36,0),D8+H8-Inputs!$B$40/Inputs!$B$38)</f>
        <v>38410</v>
      </c>
      <c r="I7" s="9">
        <f t="shared" si="1"/>
        <v>440000</v>
      </c>
      <c r="J7" s="10">
        <f>I7*Inputs!$B$38</f>
        <v>22000000</v>
      </c>
      <c r="K7" s="10">
        <f>I7*Inputs!$B$7/1000000</f>
        <v>10971.312</v>
      </c>
      <c r="L7" s="10">
        <f>J7*Inputs!$B$8/1000000</f>
        <v>1828.5519999999999</v>
      </c>
      <c r="M7" s="10">
        <f>J7*Inputs!$B$9/1000000</f>
        <v>3023.4528706854626</v>
      </c>
      <c r="N7" s="10">
        <f>Inputs!$B$10/4</f>
        <v>2290</v>
      </c>
      <c r="O7" s="9">
        <f t="shared" si="2"/>
        <v>5313.4528706854626</v>
      </c>
      <c r="P7" s="10">
        <f>(Inputs!$B$7+Inputs!$B$38*Inputs!$B$8)+((SUM(M4:M7)+Inputs!$B$10)*1000000/SUM(I4:I7))</f>
        <v>41558</v>
      </c>
      <c r="Q7" s="9">
        <f t="shared" si="3"/>
        <v>19038.384728000001</v>
      </c>
      <c r="R7" s="10">
        <f>D7*(Inputs!$B$11*Inputs!$B$39*1000000/Inputs!$B$4)/1000000+Inputs!$B$11*(1-Inputs!$B$39)/4</f>
        <v>1285.2249444420336</v>
      </c>
      <c r="S7" s="9">
        <f t="shared" si="4"/>
        <v>2652.0643092550058</v>
      </c>
      <c r="T7" s="10">
        <f>Inputs!$B$40-J7</f>
        <v>0</v>
      </c>
      <c r="U7" s="9">
        <f t="shared" si="11"/>
        <v>35200</v>
      </c>
      <c r="V7" s="10">
        <f>ROUND(I8*Inputs!$B$37,0)</f>
        <v>30862</v>
      </c>
      <c r="W7" s="9">
        <f t="shared" si="5"/>
        <v>435662</v>
      </c>
      <c r="X7" s="10">
        <f>W7*Inputs!$B$7/1000000</f>
        <v>10863.144837600001</v>
      </c>
      <c r="Y7" s="9">
        <f t="shared" si="6"/>
        <v>18285.52</v>
      </c>
      <c r="Z7" s="9">
        <f t="shared" si="7"/>
        <v>2349.1075080000001</v>
      </c>
      <c r="AA7" s="9">
        <f t="shared" si="8"/>
        <v>1596.24278</v>
      </c>
      <c r="AB7" s="9">
        <f t="shared" si="9"/>
        <v>0</v>
      </c>
      <c r="AC7" s="10">
        <f>MAX(0,-T7)*Inputs!$B$109/1000000</f>
        <v>0</v>
      </c>
    </row>
    <row r="8" spans="1:29" x14ac:dyDescent="0.3">
      <c r="A8" s="18">
        <v>2026</v>
      </c>
      <c r="B8" s="9">
        <v>1</v>
      </c>
      <c r="C8" s="19">
        <f>Inputs!$B$32</f>
        <v>0.23</v>
      </c>
      <c r="D8" s="10">
        <f>ROUND(Inputs!$C$4*C8,0)</f>
        <v>384100</v>
      </c>
      <c r="E8" s="20">
        <f>Inputs!$C$5*1000000/Inputs!$C$4</f>
        <v>49237.125748502993</v>
      </c>
      <c r="F8" s="9">
        <f t="shared" si="0"/>
        <v>18911.98</v>
      </c>
      <c r="G8" s="9">
        <f t="shared" si="10"/>
        <v>38410</v>
      </c>
      <c r="H8" s="10">
        <f>MAX(ROUND(D9*Inputs!$B$36,0),D9+H9-Inputs!$B$40/Inputs!$B$38)</f>
        <v>40080</v>
      </c>
      <c r="I8" s="9">
        <f t="shared" si="1"/>
        <v>385770</v>
      </c>
      <c r="J8" s="10">
        <f>I8*Inputs!$B$38</f>
        <v>19288500</v>
      </c>
      <c r="K8" s="10">
        <f>I8*Inputs!$C$7/1000000</f>
        <v>9550.3535819999997</v>
      </c>
      <c r="L8" s="10">
        <f>J8*Inputs!$C$8/1000000</f>
        <v>1591.7255970000001</v>
      </c>
      <c r="M8" s="10">
        <f>J8*Inputs!$C$9/1000000</f>
        <v>2598.2102935587163</v>
      </c>
      <c r="N8" s="10">
        <f>Inputs!$C$10/4</f>
        <v>2358.75</v>
      </c>
      <c r="O8" s="9">
        <f t="shared" si="2"/>
        <v>4956.9602935587163</v>
      </c>
      <c r="P8" s="10">
        <f>(Inputs!$C$7+Inputs!$B$38*Inputs!$C$8)+((SUM(M8:M11)+Inputs!$C$10)*1000000/SUM(I8:I11))</f>
        <v>41261</v>
      </c>
      <c r="Q8" s="9">
        <f t="shared" si="3"/>
        <v>15848.3501</v>
      </c>
      <c r="R8" s="10">
        <f>D8*(Inputs!$C$11*Inputs!$B$39*1000000/Inputs!$C$4)/1000000+Inputs!$C$11*(1-Inputs!$B$39)/4</f>
        <v>1309.3469999999998</v>
      </c>
      <c r="S8" s="9">
        <f t="shared" si="4"/>
        <v>1754.2829000000002</v>
      </c>
      <c r="T8" s="10">
        <f>Inputs!$B$40-J8</f>
        <v>2711500</v>
      </c>
      <c r="U8" s="9">
        <f t="shared" si="11"/>
        <v>30862</v>
      </c>
      <c r="V8" s="10">
        <f>ROUND(I9*Inputs!$B$37,0)</f>
        <v>32493</v>
      </c>
      <c r="W8" s="9">
        <f t="shared" si="5"/>
        <v>387401</v>
      </c>
      <c r="X8" s="10">
        <f>W8*Inputs!$C$7/1000000</f>
        <v>9590.7315966000006</v>
      </c>
      <c r="Y8" s="9">
        <f t="shared" si="6"/>
        <v>15917.25597</v>
      </c>
      <c r="Z8" s="9">
        <f t="shared" si="7"/>
        <v>1584.83501</v>
      </c>
      <c r="AA8" s="9">
        <f t="shared" si="8"/>
        <v>1653.7408800000001</v>
      </c>
      <c r="AB8" s="9">
        <f t="shared" si="9"/>
        <v>0</v>
      </c>
      <c r="AC8" s="10">
        <f>MAX(0,-T8)*Inputs!$B$109/1000000</f>
        <v>0</v>
      </c>
    </row>
    <row r="9" spans="1:29" x14ac:dyDescent="0.3">
      <c r="A9" s="18">
        <v>2026</v>
      </c>
      <c r="B9" s="9">
        <v>2</v>
      </c>
      <c r="C9" s="19">
        <f>Inputs!$B$33</f>
        <v>0.24</v>
      </c>
      <c r="D9" s="10">
        <f>ROUND(Inputs!$C$4*C9,0)</f>
        <v>400800</v>
      </c>
      <c r="E9" s="20">
        <f>Inputs!$C$5*1000000/Inputs!$C$4</f>
        <v>49237.125748502993</v>
      </c>
      <c r="F9" s="9">
        <f t="shared" si="0"/>
        <v>19734.240000000002</v>
      </c>
      <c r="G9" s="9">
        <f t="shared" si="10"/>
        <v>40080</v>
      </c>
      <c r="H9" s="10">
        <f>MAX(ROUND(D10*Inputs!$B$36,0),D10+H10-Inputs!$B$40/Inputs!$B$38)</f>
        <v>45442</v>
      </c>
      <c r="I9" s="9">
        <f t="shared" si="1"/>
        <v>406162</v>
      </c>
      <c r="J9" s="10">
        <f>I9*Inputs!$B$38</f>
        <v>20308100</v>
      </c>
      <c r="K9" s="10">
        <f>I9*Inputs!$C$7/1000000</f>
        <v>10055.190169199999</v>
      </c>
      <c r="L9" s="10">
        <f>J9*Inputs!$C$8/1000000</f>
        <v>1675.8650282000001</v>
      </c>
      <c r="M9" s="10">
        <f>J9*Inputs!$C$9/1000000</f>
        <v>2735.5530218845302</v>
      </c>
      <c r="N9" s="10">
        <f>Inputs!$C$10/4</f>
        <v>2358.75</v>
      </c>
      <c r="O9" s="9">
        <f t="shared" si="2"/>
        <v>5094.3030218845306</v>
      </c>
      <c r="P9" s="10">
        <f>(Inputs!$C$7+Inputs!$B$38*Inputs!$C$8)+((SUM(M8:M11)+Inputs!$C$10)*1000000/SUM(I8:I11))</f>
        <v>41261</v>
      </c>
      <c r="Q9" s="9">
        <f t="shared" si="3"/>
        <v>16537.408800000001</v>
      </c>
      <c r="R9" s="10">
        <f>D9*(Inputs!$C$11*Inputs!$B$39*1000000/Inputs!$C$4)/1000000+Inputs!$C$11*(1-Inputs!$B$39)/4</f>
        <v>1317.2984999999999</v>
      </c>
      <c r="S9" s="9">
        <f t="shared" si="4"/>
        <v>1879.5327000000007</v>
      </c>
      <c r="T9" s="10">
        <f>Inputs!$B$40-J9</f>
        <v>1691900</v>
      </c>
      <c r="U9" s="9">
        <f t="shared" si="11"/>
        <v>32493</v>
      </c>
      <c r="V9" s="10">
        <f>ROUND(I10*Inputs!$B$37,0)</f>
        <v>35200</v>
      </c>
      <c r="W9" s="9">
        <f t="shared" si="5"/>
        <v>408869</v>
      </c>
      <c r="X9" s="10">
        <f>W9*Inputs!$C$7/1000000</f>
        <v>10122.2062854</v>
      </c>
      <c r="Y9" s="9">
        <f t="shared" si="6"/>
        <v>16758.650281999999</v>
      </c>
      <c r="Z9" s="9">
        <f t="shared" si="7"/>
        <v>1653.7408800000001</v>
      </c>
      <c r="AA9" s="9">
        <f t="shared" si="8"/>
        <v>1874.982362</v>
      </c>
      <c r="AB9" s="9">
        <f t="shared" si="9"/>
        <v>0</v>
      </c>
      <c r="AC9" s="10">
        <f>MAX(0,-T9)*Inputs!$B$109/1000000</f>
        <v>0</v>
      </c>
    </row>
    <row r="10" spans="1:29" x14ac:dyDescent="0.3">
      <c r="A10" s="18">
        <v>2026</v>
      </c>
      <c r="B10" s="9">
        <v>3</v>
      </c>
      <c r="C10" s="19">
        <f>Inputs!$B$34</f>
        <v>0.25</v>
      </c>
      <c r="D10" s="10">
        <f>ROUND(Inputs!$C$4*C10,0)</f>
        <v>417500</v>
      </c>
      <c r="E10" s="20">
        <f>Inputs!$C$5*1000000/Inputs!$C$4</f>
        <v>49237.125748502993</v>
      </c>
      <c r="F10" s="9">
        <f t="shared" si="0"/>
        <v>20556.5</v>
      </c>
      <c r="G10" s="9">
        <f t="shared" si="10"/>
        <v>45442</v>
      </c>
      <c r="H10" s="10">
        <f>MAX(ROUND(D11*Inputs!$B$36,0),D11+H11-Inputs!$B$40/Inputs!$B$38)</f>
        <v>67942</v>
      </c>
      <c r="I10" s="9">
        <f t="shared" si="1"/>
        <v>440000</v>
      </c>
      <c r="J10" s="10">
        <f>I10*Inputs!$B$38</f>
        <v>22000000</v>
      </c>
      <c r="K10" s="10">
        <f>I10*Inputs!$C$7/1000000</f>
        <v>10892.904</v>
      </c>
      <c r="L10" s="10">
        <f>J10*Inputs!$C$8/1000000</f>
        <v>1815.4840000000002</v>
      </c>
      <c r="M10" s="10">
        <f>J10*Inputs!$C$9/1000000</f>
        <v>2963.456280078376</v>
      </c>
      <c r="N10" s="10">
        <f>Inputs!$C$10/4</f>
        <v>2358.75</v>
      </c>
      <c r="O10" s="9">
        <f t="shared" si="2"/>
        <v>5322.206280078376</v>
      </c>
      <c r="P10" s="10">
        <f>(Inputs!$C$7+Inputs!$B$38*Inputs!$C$8)+((SUM(M8:M11)+Inputs!$C$10)*1000000/SUM(I8:I11))</f>
        <v>41261</v>
      </c>
      <c r="Q10" s="9">
        <f t="shared" si="3"/>
        <v>17226.467499999999</v>
      </c>
      <c r="R10" s="10">
        <f>D10*(Inputs!$C$11*Inputs!$B$39*1000000/Inputs!$C$4)/1000000+Inputs!$C$11*(1-Inputs!$B$39)/4</f>
        <v>1325.2499999999998</v>
      </c>
      <c r="S10" s="9">
        <f t="shared" si="4"/>
        <v>2004.7825000000014</v>
      </c>
      <c r="T10" s="10">
        <f>Inputs!$B$40-J10</f>
        <v>0</v>
      </c>
      <c r="U10" s="9">
        <f t="shared" si="11"/>
        <v>35200</v>
      </c>
      <c r="V10" s="10">
        <f>ROUND(I11*Inputs!$B$37,0)</f>
        <v>35200</v>
      </c>
      <c r="W10" s="9">
        <f t="shared" si="5"/>
        <v>440000</v>
      </c>
      <c r="X10" s="10">
        <f>W10*Inputs!$C$7/1000000</f>
        <v>10892.904</v>
      </c>
      <c r="Y10" s="9">
        <f t="shared" si="6"/>
        <v>18154.84</v>
      </c>
      <c r="Z10" s="9">
        <f t="shared" si="7"/>
        <v>1874.982362</v>
      </c>
      <c r="AA10" s="9">
        <f t="shared" si="8"/>
        <v>2803.3548620000001</v>
      </c>
      <c r="AB10" s="9">
        <f t="shared" si="9"/>
        <v>0</v>
      </c>
      <c r="AC10" s="10">
        <f>MAX(0,-T10)*Inputs!$B$109/1000000</f>
        <v>0</v>
      </c>
    </row>
    <row r="11" spans="1:29" x14ac:dyDescent="0.3">
      <c r="A11" s="18">
        <v>2026</v>
      </c>
      <c r="B11" s="9">
        <v>4</v>
      </c>
      <c r="C11" s="19">
        <f>Inputs!$B$35</f>
        <v>0.28000000000000003</v>
      </c>
      <c r="D11" s="10">
        <f>Inputs!$C$4-SUM(D8:D10)</f>
        <v>467600</v>
      </c>
      <c r="E11" s="20">
        <f>Inputs!$C$5*1000000/Inputs!$C$4</f>
        <v>49237.125748502993</v>
      </c>
      <c r="F11" s="9">
        <f t="shared" si="0"/>
        <v>23023.279999999999</v>
      </c>
      <c r="G11" s="9">
        <f t="shared" si="10"/>
        <v>67942</v>
      </c>
      <c r="H11" s="10">
        <f>MAX(ROUND(D12*Inputs!$B$36,0),D12+H12-Inputs!$B$40/Inputs!$B$38)</f>
        <v>40342</v>
      </c>
      <c r="I11" s="9">
        <f t="shared" si="1"/>
        <v>440000</v>
      </c>
      <c r="J11" s="10">
        <f>I11*Inputs!$B$38</f>
        <v>22000000</v>
      </c>
      <c r="K11" s="10">
        <f>I11*Inputs!$C$7/1000000</f>
        <v>10892.904</v>
      </c>
      <c r="L11" s="10">
        <f>J11*Inputs!$C$8/1000000</f>
        <v>1815.4840000000002</v>
      </c>
      <c r="M11" s="10">
        <f>J11*Inputs!$C$9/1000000</f>
        <v>2963.456280078376</v>
      </c>
      <c r="N11" s="10">
        <f>Inputs!$C$10/4</f>
        <v>2358.75</v>
      </c>
      <c r="O11" s="9">
        <f t="shared" si="2"/>
        <v>5322.206280078376</v>
      </c>
      <c r="P11" s="10">
        <f>(Inputs!$C$7+Inputs!$B$38*Inputs!$C$8)+((SUM(M8:M11)+Inputs!$C$10)*1000000/SUM(I8:I11))</f>
        <v>41261</v>
      </c>
      <c r="Q11" s="9">
        <f t="shared" si="3"/>
        <v>19293.643599999999</v>
      </c>
      <c r="R11" s="10">
        <f>D11*(Inputs!$C$11*Inputs!$B$39*1000000/Inputs!$C$4)/1000000+Inputs!$C$11*(1-Inputs!$B$39)/4</f>
        <v>1349.1044999999999</v>
      </c>
      <c r="S11" s="9">
        <f t="shared" si="4"/>
        <v>2380.5318999999995</v>
      </c>
      <c r="T11" s="10">
        <f>Inputs!$B$40-J11</f>
        <v>0</v>
      </c>
      <c r="U11" s="9">
        <f t="shared" si="11"/>
        <v>35200</v>
      </c>
      <c r="V11" s="10">
        <f>ROUND(I12*Inputs!$B$37,0)</f>
        <v>34881</v>
      </c>
      <c r="W11" s="9">
        <f t="shared" si="5"/>
        <v>439681</v>
      </c>
      <c r="X11" s="10">
        <f>W11*Inputs!$C$7/1000000</f>
        <v>10885.006644599998</v>
      </c>
      <c r="Y11" s="9">
        <f t="shared" si="6"/>
        <v>18154.84</v>
      </c>
      <c r="Z11" s="9">
        <f t="shared" si="7"/>
        <v>2803.3548620000001</v>
      </c>
      <c r="AA11" s="9">
        <f t="shared" si="8"/>
        <v>1664.551262</v>
      </c>
      <c r="AB11" s="9">
        <f t="shared" si="9"/>
        <v>0</v>
      </c>
      <c r="AC11" s="10">
        <f>MAX(0,-T11)*Inputs!$B$109/1000000</f>
        <v>0</v>
      </c>
    </row>
    <row r="12" spans="1:29" x14ac:dyDescent="0.3">
      <c r="A12" s="18">
        <v>2027</v>
      </c>
      <c r="B12" s="9">
        <v>1</v>
      </c>
      <c r="C12" s="19">
        <f>Inputs!$B$32</f>
        <v>0.23</v>
      </c>
      <c r="D12" s="10">
        <f>ROUND(Inputs!$D$4*C12,0)</f>
        <v>403420</v>
      </c>
      <c r="E12" s="20">
        <f>Inputs!$D$5*1000000/Inputs!$D$4</f>
        <v>49222.919042189278</v>
      </c>
      <c r="F12" s="9">
        <f t="shared" si="0"/>
        <v>19857.509999999998</v>
      </c>
      <c r="G12" s="9">
        <f t="shared" si="10"/>
        <v>40342</v>
      </c>
      <c r="H12" s="10">
        <f>MAX(ROUND(D13*Inputs!$B$36,0),D13+H13-Inputs!$B$40/Inputs!$B$38)</f>
        <v>72939</v>
      </c>
      <c r="I12" s="9">
        <f t="shared" si="1"/>
        <v>436017</v>
      </c>
      <c r="J12" s="10">
        <f>I12*Inputs!$B$38</f>
        <v>21800850</v>
      </c>
      <c r="K12" s="10">
        <f>I12*Inputs!$D$7/1000000</f>
        <v>10755.5801526</v>
      </c>
      <c r="L12" s="10">
        <f>J12*Inputs!$D$8/1000000</f>
        <v>1792.5966920999999</v>
      </c>
      <c r="M12" s="10">
        <f>J12*Inputs!$D$9/1000000</f>
        <v>2964.8218612998039</v>
      </c>
      <c r="N12" s="10">
        <f>Inputs!$D$10/4</f>
        <v>2429.5</v>
      </c>
      <c r="O12" s="9">
        <f t="shared" si="2"/>
        <v>5394.3218612998044</v>
      </c>
      <c r="P12" s="10">
        <f>(Inputs!$D$7+Inputs!$B$38*Inputs!$D$8)+((SUM(M12:M15)+Inputs!$D$10)*1000000/SUM(I12:I15))</f>
        <v>41113</v>
      </c>
      <c r="Q12" s="9">
        <f t="shared" si="3"/>
        <v>16585.80646</v>
      </c>
      <c r="R12" s="10">
        <f>D12*(Inputs!$D$11*Inputs!$B$39*1000000/Inputs!$D$4)/1000000+Inputs!$D$11*(1-Inputs!$B$39)/4</f>
        <v>1365.4159999999999</v>
      </c>
      <c r="S12" s="9">
        <f t="shared" si="4"/>
        <v>1906.2875399999987</v>
      </c>
      <c r="T12" s="10">
        <f>Inputs!$B$40-J12</f>
        <v>199150</v>
      </c>
      <c r="U12" s="9">
        <f t="shared" si="11"/>
        <v>34881</v>
      </c>
      <c r="V12" s="10">
        <f>ROUND(I13*Inputs!$B$37,0)</f>
        <v>35200</v>
      </c>
      <c r="W12" s="9">
        <f t="shared" si="5"/>
        <v>436336</v>
      </c>
      <c r="X12" s="10">
        <f>W12*Inputs!$D$7/1000000</f>
        <v>10763.449180799998</v>
      </c>
      <c r="Y12" s="9">
        <f t="shared" si="6"/>
        <v>17925.966920999999</v>
      </c>
      <c r="Z12" s="9">
        <f t="shared" si="7"/>
        <v>1658.5806459999999</v>
      </c>
      <c r="AA12" s="9">
        <f t="shared" si="8"/>
        <v>2998.7411069999998</v>
      </c>
      <c r="AB12" s="9">
        <f t="shared" si="9"/>
        <v>0</v>
      </c>
      <c r="AC12" s="10">
        <f>MAX(0,-T12)*Inputs!$B$109/1000000</f>
        <v>0</v>
      </c>
    </row>
    <row r="13" spans="1:29" x14ac:dyDescent="0.3">
      <c r="A13" s="18">
        <v>2027</v>
      </c>
      <c r="B13" s="9">
        <v>2</v>
      </c>
      <c r="C13" s="19">
        <f>Inputs!$B$33</f>
        <v>0.24</v>
      </c>
      <c r="D13" s="10">
        <f>ROUND(Inputs!$D$4*C13,0)</f>
        <v>420960</v>
      </c>
      <c r="E13" s="20">
        <f>Inputs!$D$5*1000000/Inputs!$D$4</f>
        <v>49222.919042189278</v>
      </c>
      <c r="F13" s="9">
        <f t="shared" si="0"/>
        <v>20720.88</v>
      </c>
      <c r="G13" s="9">
        <f t="shared" si="10"/>
        <v>72939</v>
      </c>
      <c r="H13" s="10">
        <f>MAX(ROUND(D14*Inputs!$B$36,0),D14+H14-Inputs!$B$40/Inputs!$B$38)</f>
        <v>91979</v>
      </c>
      <c r="I13" s="9">
        <f t="shared" si="1"/>
        <v>440000</v>
      </c>
      <c r="J13" s="10">
        <f>I13*Inputs!$B$38</f>
        <v>22000000</v>
      </c>
      <c r="K13" s="10">
        <f>I13*Inputs!$D$7/1000000</f>
        <v>10853.832</v>
      </c>
      <c r="L13" s="10">
        <f>J13*Inputs!$D$8/1000000</f>
        <v>1808.972</v>
      </c>
      <c r="M13" s="10">
        <f>J13*Inputs!$D$9/1000000</f>
        <v>2991.9054050000655</v>
      </c>
      <c r="N13" s="10">
        <f>Inputs!$D$10/4</f>
        <v>2429.5</v>
      </c>
      <c r="O13" s="9">
        <f t="shared" si="2"/>
        <v>5421.405405000065</v>
      </c>
      <c r="P13" s="10">
        <f>(Inputs!$D$7+Inputs!$B$38*Inputs!$D$8)+((SUM(M12:M15)+Inputs!$D$10)*1000000/SUM(I12:I15))</f>
        <v>41113</v>
      </c>
      <c r="Q13" s="9">
        <f t="shared" si="3"/>
        <v>17306.928479999999</v>
      </c>
      <c r="R13" s="10">
        <f>D13*(Inputs!$D$11*Inputs!$B$39*1000000/Inputs!$D$4)/1000000+Inputs!$D$11*(1-Inputs!$B$39)/4</f>
        <v>1373.7080000000001</v>
      </c>
      <c r="S13" s="9">
        <f t="shared" si="4"/>
        <v>2040.2435200000023</v>
      </c>
      <c r="T13" s="10">
        <f>Inputs!$B$40-J13</f>
        <v>0</v>
      </c>
      <c r="U13" s="9">
        <f t="shared" si="11"/>
        <v>35200</v>
      </c>
      <c r="V13" s="10">
        <f>ROUND(I14*Inputs!$B$37,0)</f>
        <v>35200</v>
      </c>
      <c r="W13" s="9">
        <f t="shared" si="5"/>
        <v>440000</v>
      </c>
      <c r="X13" s="10">
        <f>W13*Inputs!$D$7/1000000</f>
        <v>10853.832</v>
      </c>
      <c r="Y13" s="9">
        <f t="shared" si="6"/>
        <v>18089.72</v>
      </c>
      <c r="Z13" s="9">
        <f t="shared" si="7"/>
        <v>2998.7411069999998</v>
      </c>
      <c r="AA13" s="9">
        <f t="shared" si="8"/>
        <v>3781.532627</v>
      </c>
      <c r="AB13" s="9">
        <f t="shared" si="9"/>
        <v>0</v>
      </c>
      <c r="AC13" s="10">
        <f>MAX(0,-T13)*Inputs!$B$109/1000000</f>
        <v>0</v>
      </c>
    </row>
    <row r="14" spans="1:29" x14ac:dyDescent="0.3">
      <c r="A14" s="18">
        <v>2027</v>
      </c>
      <c r="B14" s="9">
        <v>3</v>
      </c>
      <c r="C14" s="19">
        <f>Inputs!$B$34</f>
        <v>0.25</v>
      </c>
      <c r="D14" s="10">
        <f>ROUND(Inputs!$D$4*C14,0)</f>
        <v>438500</v>
      </c>
      <c r="E14" s="20">
        <f>Inputs!$D$5*1000000/Inputs!$D$4</f>
        <v>49222.919042189278</v>
      </c>
      <c r="F14" s="9">
        <f t="shared" si="0"/>
        <v>21584.25</v>
      </c>
      <c r="G14" s="9">
        <f t="shared" si="10"/>
        <v>91979</v>
      </c>
      <c r="H14" s="10">
        <f>MAX(ROUND(D15*Inputs!$B$36,0),D15+H15-Inputs!$B$40/Inputs!$B$38)</f>
        <v>93479</v>
      </c>
      <c r="I14" s="9">
        <f t="shared" si="1"/>
        <v>440000</v>
      </c>
      <c r="J14" s="10">
        <f>I14*Inputs!$B$38</f>
        <v>22000000</v>
      </c>
      <c r="K14" s="10">
        <f>I14*Inputs!$D$7/1000000</f>
        <v>10853.832</v>
      </c>
      <c r="L14" s="10">
        <f>J14*Inputs!$D$8/1000000</f>
        <v>1808.972</v>
      </c>
      <c r="M14" s="10">
        <f>J14*Inputs!$D$9/1000000</f>
        <v>2991.9054050000655</v>
      </c>
      <c r="N14" s="10">
        <f>Inputs!$D$10/4</f>
        <v>2429.5</v>
      </c>
      <c r="O14" s="9">
        <f t="shared" si="2"/>
        <v>5421.405405000065</v>
      </c>
      <c r="P14" s="10">
        <f>(Inputs!$D$7+Inputs!$B$38*Inputs!$D$8)+((SUM(M12:M15)+Inputs!$D$10)*1000000/SUM(I12:I15))</f>
        <v>41113</v>
      </c>
      <c r="Q14" s="9">
        <f t="shared" si="3"/>
        <v>18028.050500000001</v>
      </c>
      <c r="R14" s="10">
        <f>D14*(Inputs!$D$11*Inputs!$B$39*1000000/Inputs!$D$4)/1000000+Inputs!$D$11*(1-Inputs!$B$39)/4</f>
        <v>1382</v>
      </c>
      <c r="S14" s="9">
        <f t="shared" si="4"/>
        <v>2174.1994999999988</v>
      </c>
      <c r="T14" s="10">
        <f>Inputs!$B$40-J14</f>
        <v>0</v>
      </c>
      <c r="U14" s="9">
        <f t="shared" si="11"/>
        <v>35200</v>
      </c>
      <c r="V14" s="10">
        <f>ROUND(I15*Inputs!$B$37,0)</f>
        <v>35200</v>
      </c>
      <c r="W14" s="9">
        <f t="shared" si="5"/>
        <v>440000</v>
      </c>
      <c r="X14" s="10">
        <f>W14*Inputs!$D$7/1000000</f>
        <v>10853.832</v>
      </c>
      <c r="Y14" s="9">
        <f t="shared" si="6"/>
        <v>18089.72</v>
      </c>
      <c r="Z14" s="9">
        <f t="shared" si="7"/>
        <v>3781.532627</v>
      </c>
      <c r="AA14" s="9">
        <f t="shared" si="8"/>
        <v>3843.202127</v>
      </c>
      <c r="AB14" s="9">
        <f t="shared" si="9"/>
        <v>0</v>
      </c>
      <c r="AC14" s="10">
        <f>MAX(0,-T14)*Inputs!$B$109/1000000</f>
        <v>0</v>
      </c>
    </row>
    <row r="15" spans="1:29" x14ac:dyDescent="0.3">
      <c r="A15" s="18">
        <v>2027</v>
      </c>
      <c r="B15" s="9">
        <v>4</v>
      </c>
      <c r="C15" s="19">
        <f>Inputs!$B$35</f>
        <v>0.28000000000000003</v>
      </c>
      <c r="D15" s="10">
        <f>Inputs!$D$4-SUM(D12:D14)</f>
        <v>491120</v>
      </c>
      <c r="E15" s="20">
        <f>Inputs!$D$5*1000000/Inputs!$D$4</f>
        <v>49222.919042189278</v>
      </c>
      <c r="F15" s="9">
        <f t="shared" si="0"/>
        <v>24174.36</v>
      </c>
      <c r="G15" s="9">
        <f t="shared" si="10"/>
        <v>93479</v>
      </c>
      <c r="H15" s="10">
        <f>ROUND(Inputs!$B$41*Inputs!$B$36,0)</f>
        <v>42359</v>
      </c>
      <c r="I15" s="9">
        <f t="shared" si="1"/>
        <v>440000</v>
      </c>
      <c r="J15" s="10">
        <f>I15*Inputs!$B$38</f>
        <v>22000000</v>
      </c>
      <c r="K15" s="10">
        <f>I15*Inputs!$D$7/1000000</f>
        <v>10853.832</v>
      </c>
      <c r="L15" s="10">
        <f>J15*Inputs!$D$8/1000000</f>
        <v>1808.972</v>
      </c>
      <c r="M15" s="10">
        <f>J15*Inputs!$D$9/1000000</f>
        <v>2991.9054050000655</v>
      </c>
      <c r="N15" s="10">
        <f>Inputs!$D$10/4</f>
        <v>2429.5</v>
      </c>
      <c r="O15" s="9">
        <f t="shared" si="2"/>
        <v>5421.405405000065</v>
      </c>
      <c r="P15" s="10">
        <f>(Inputs!$D$7+Inputs!$B$38*Inputs!$D$8)+((SUM(M12:M15)+Inputs!$D$10)*1000000/SUM(I12:I15))</f>
        <v>41113</v>
      </c>
      <c r="Q15" s="9">
        <f t="shared" si="3"/>
        <v>20191.416560000001</v>
      </c>
      <c r="R15" s="10">
        <f>D15*(Inputs!$D$11*Inputs!$B$39*1000000/Inputs!$D$4)/1000000+Inputs!$D$11*(1-Inputs!$B$39)/4</f>
        <v>1406.876</v>
      </c>
      <c r="S15" s="9">
        <f t="shared" si="4"/>
        <v>2576.0674399999989</v>
      </c>
      <c r="T15" s="10">
        <f>Inputs!$B$40-J15</f>
        <v>0</v>
      </c>
      <c r="U15" s="9">
        <f t="shared" si="11"/>
        <v>35200</v>
      </c>
      <c r="V15" s="10">
        <f>ROUND(Inputs!$B$41*Inputs!$B$37,0)</f>
        <v>33887</v>
      </c>
      <c r="W15" s="9">
        <f t="shared" si="5"/>
        <v>438687</v>
      </c>
      <c r="X15" s="10">
        <f>W15*Inputs!$D$7/1000000</f>
        <v>10821.4431786</v>
      </c>
      <c r="Y15" s="9">
        <f t="shared" si="6"/>
        <v>18089.72</v>
      </c>
      <c r="Z15" s="9">
        <f t="shared" si="7"/>
        <v>3843.202127</v>
      </c>
      <c r="AA15" s="9">
        <f t="shared" si="8"/>
        <v>1741.5055669999999</v>
      </c>
      <c r="AB15" s="9">
        <f t="shared" si="9"/>
        <v>0</v>
      </c>
      <c r="AC15" s="10">
        <f>MAX(0,-T15)*Inputs!$B$109/1000000</f>
        <v>0</v>
      </c>
    </row>
    <row r="16" spans="1:29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8.8" customHeight="1" x14ac:dyDescent="0.3">
      <c r="A17" s="21" t="s">
        <v>210</v>
      </c>
      <c r="B17" s="6" t="s">
        <v>215</v>
      </c>
      <c r="C17" s="6" t="s">
        <v>225</v>
      </c>
      <c r="D17" s="6" t="s">
        <v>226</v>
      </c>
      <c r="E17" s="6" t="s">
        <v>227</v>
      </c>
      <c r="F17" s="6" t="s">
        <v>238</v>
      </c>
      <c r="G17" s="6" t="s">
        <v>239</v>
      </c>
      <c r="H17" s="6" t="s">
        <v>240</v>
      </c>
      <c r="I17" s="6" t="s">
        <v>241</v>
      </c>
      <c r="J17" s="6" t="s">
        <v>242</v>
      </c>
      <c r="K17" s="6" t="s">
        <v>233</v>
      </c>
      <c r="L17" s="6" t="s">
        <v>236</v>
      </c>
      <c r="M17" s="6" t="s">
        <v>237</v>
      </c>
      <c r="N17" s="1"/>
      <c r="O17" s="1"/>
      <c r="P17" s="1"/>
      <c r="Q17" s="1"/>
      <c r="R17" s="1"/>
      <c r="S17" s="1"/>
      <c r="T17" s="1"/>
    </row>
    <row r="18" spans="1:20" x14ac:dyDescent="0.3">
      <c r="A18" s="18">
        <v>2025</v>
      </c>
      <c r="B18" s="9">
        <f>SUM(F4:F7)</f>
        <v>82056</v>
      </c>
      <c r="C18" s="9">
        <f>SUM(Q4:Q7)</f>
        <v>67994.248982000005</v>
      </c>
      <c r="D18" s="9">
        <f>SUM(R4:R7)</f>
        <v>5050</v>
      </c>
      <c r="E18" s="9">
        <f>SUM(S4:S7)</f>
        <v>9011.7510180000045</v>
      </c>
      <c r="F18" s="9">
        <f>SUM(K4:K7)</f>
        <v>40815.973598399993</v>
      </c>
      <c r="G18" s="9">
        <f>SUM(L4:L7)</f>
        <v>6802.6622663999997</v>
      </c>
      <c r="H18" s="9">
        <f>SUM(O4:O7)</f>
        <v>20407.9867992</v>
      </c>
      <c r="I18" s="9">
        <f>SUMIF(T4:T7,"&lt;0",T4:T7)*-1</f>
        <v>0</v>
      </c>
      <c r="J18" s="9">
        <f>SUM(X4:X7)</f>
        <v>40831.5827832</v>
      </c>
      <c r="K18" s="9">
        <f>SUM(Y4:Y7)</f>
        <v>68026.622663999995</v>
      </c>
      <c r="L18" s="9">
        <f>SUM(AB4:AB7)</f>
        <v>0</v>
      </c>
      <c r="M18" s="9">
        <f>SUM(AC4:AC7)</f>
        <v>0</v>
      </c>
      <c r="N18" s="1"/>
      <c r="O18" s="1"/>
      <c r="P18" s="1"/>
      <c r="Q18" s="1"/>
      <c r="R18" s="1"/>
      <c r="S18" s="1"/>
      <c r="T18" s="1"/>
    </row>
    <row r="19" spans="1:20" x14ac:dyDescent="0.3">
      <c r="A19" s="18">
        <v>2026</v>
      </c>
      <c r="B19" s="9">
        <f>SUM(F8:F11)</f>
        <v>82226</v>
      </c>
      <c r="C19" s="9">
        <f>SUM(Q8:Q11)</f>
        <v>68905.87</v>
      </c>
      <c r="D19" s="9">
        <f>SUM(R8:R11)</f>
        <v>5301</v>
      </c>
      <c r="E19" s="9">
        <f>SUM(S8:S11)</f>
        <v>8019.130000000001</v>
      </c>
      <c r="F19" s="9">
        <f>SUM(K8:K11)</f>
        <v>41391.351751200003</v>
      </c>
      <c r="G19" s="9">
        <f>SUM(L8:L11)</f>
        <v>6898.5586252000012</v>
      </c>
      <c r="H19" s="9">
        <f>SUM(O8:O11)</f>
        <v>20695.675875599998</v>
      </c>
      <c r="I19" s="9">
        <f>SUMIF(T8:T11,"&lt;0",T8:T11)*-1</f>
        <v>0</v>
      </c>
      <c r="J19" s="9">
        <f>SUM(X8:X11)</f>
        <v>41490.848526599999</v>
      </c>
      <c r="K19" s="9">
        <f>SUM(Y8:Y11)</f>
        <v>68985.586251999994</v>
      </c>
      <c r="L19" s="9">
        <f>SUM(AB8:AB11)</f>
        <v>0</v>
      </c>
      <c r="M19" s="9">
        <f>SUM(AC8:AC11)</f>
        <v>0</v>
      </c>
      <c r="N19" s="1"/>
      <c r="O19" s="1"/>
      <c r="P19" s="1"/>
      <c r="Q19" s="1"/>
      <c r="R19" s="1"/>
      <c r="S19" s="1"/>
      <c r="T19" s="1"/>
    </row>
    <row r="20" spans="1:20" x14ac:dyDescent="0.3">
      <c r="A20" s="18">
        <v>2027</v>
      </c>
      <c r="B20" s="9">
        <f>SUM(F12:F15)</f>
        <v>86337</v>
      </c>
      <c r="C20" s="9">
        <f>SUM(Q12:Q15)</f>
        <v>72112.20199999999</v>
      </c>
      <c r="D20" s="9">
        <f>SUM(R12:R15)</f>
        <v>5528</v>
      </c>
      <c r="E20" s="9">
        <f>SUM(S12:S15)</f>
        <v>8696.7979999999989</v>
      </c>
      <c r="F20" s="9">
        <f>SUM(K12:K15)</f>
        <v>43317.076152600006</v>
      </c>
      <c r="G20" s="9">
        <f>SUM(L12:L15)</f>
        <v>7219.5126920999992</v>
      </c>
      <c r="H20" s="9">
        <f>SUM(O12:O15)</f>
        <v>21658.538076299999</v>
      </c>
      <c r="I20" s="9">
        <f>SUMIF(T12:T15,"&lt;0",T12:T15)*-1</f>
        <v>0</v>
      </c>
      <c r="J20" s="9">
        <f>SUM(X12:X15)</f>
        <v>43292.556359399998</v>
      </c>
      <c r="K20" s="9">
        <f>SUM(Y12:Y15)</f>
        <v>72195.126921000003</v>
      </c>
      <c r="L20" s="9">
        <f>SUM(AB12:AB15)</f>
        <v>0</v>
      </c>
      <c r="M20" s="9">
        <f>SUM(AC12:AC15)</f>
        <v>0</v>
      </c>
      <c r="N20" s="1"/>
      <c r="O20" s="1"/>
      <c r="P20" s="1"/>
      <c r="Q20" s="1"/>
      <c r="R20" s="1"/>
      <c r="S20" s="1"/>
      <c r="T20" s="1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5"/>
  <sheetViews>
    <sheetView showGridLines="0" workbookViewId="0">
      <pane ySplit="3" topLeftCell="A4" activePane="bottomLeft" state="frozen"/>
      <selection pane="bottomLeft"/>
    </sheetView>
  </sheetViews>
  <sheetFormatPr defaultRowHeight="14.4" x14ac:dyDescent="0.3"/>
  <cols>
    <col min="1" max="1" width="34" customWidth="1"/>
    <col min="2" max="4" width="15" customWidth="1"/>
    <col min="5" max="5" width="36" customWidth="1"/>
  </cols>
  <sheetData>
    <row r="1" spans="1:5" ht="42" customHeight="1" x14ac:dyDescent="0.3">
      <c r="A1" s="6" t="s">
        <v>243</v>
      </c>
      <c r="B1" s="1"/>
      <c r="C1" s="1"/>
      <c r="D1" s="1"/>
      <c r="E1" s="1"/>
    </row>
    <row r="2" spans="1:5" ht="36" customHeight="1" x14ac:dyDescent="0.3">
      <c r="A2" s="7" t="s">
        <v>1</v>
      </c>
      <c r="B2" s="1"/>
      <c r="C2" s="1"/>
      <c r="D2" s="1"/>
      <c r="E2" s="1"/>
    </row>
    <row r="3" spans="1:5" ht="28.8" customHeight="1" x14ac:dyDescent="0.3">
      <c r="A3" s="6" t="s">
        <v>244</v>
      </c>
      <c r="B3" s="6" t="s">
        <v>245</v>
      </c>
      <c r="C3" s="6" t="s">
        <v>246</v>
      </c>
      <c r="D3" s="6" t="s">
        <v>247</v>
      </c>
      <c r="E3" s="6" t="s">
        <v>248</v>
      </c>
    </row>
    <row r="4" spans="1:5" x14ac:dyDescent="0.3">
      <c r="A4" s="7" t="s">
        <v>249</v>
      </c>
      <c r="B4" s="10">
        <f>'Operating Budget'!D4</f>
        <v>376310</v>
      </c>
      <c r="C4" s="1"/>
      <c r="D4" s="1"/>
      <c r="E4" s="1"/>
    </row>
    <row r="5" spans="1:5" ht="28.8" customHeight="1" x14ac:dyDescent="0.3">
      <c r="A5" s="7" t="s">
        <v>129</v>
      </c>
      <c r="B5" s="10">
        <f>Inputs!$B$80</f>
        <v>368784</v>
      </c>
      <c r="C5" s="1"/>
      <c r="D5" s="1"/>
      <c r="E5" s="1"/>
    </row>
    <row r="6" spans="1:5" x14ac:dyDescent="0.3">
      <c r="A6" s="7" t="s">
        <v>250</v>
      </c>
      <c r="B6" s="10">
        <f>'Operating Budget'!E4</f>
        <v>50152.5246481176</v>
      </c>
      <c r="C6" s="1"/>
      <c r="D6" s="1"/>
      <c r="E6" s="1"/>
    </row>
    <row r="7" spans="1:5" x14ac:dyDescent="0.3">
      <c r="A7" s="7" t="s">
        <v>132</v>
      </c>
      <c r="B7" s="10">
        <f>Inputs!$B$81</f>
        <v>49652.5246481176</v>
      </c>
      <c r="C7" s="1"/>
      <c r="D7" s="1"/>
      <c r="E7" s="1"/>
    </row>
    <row r="8" spans="1:5" ht="28.8" customHeight="1" x14ac:dyDescent="0.3">
      <c r="A8" s="7" t="s">
        <v>133</v>
      </c>
      <c r="B8" s="22">
        <f>Inputs!$B$82</f>
        <v>1.0069999999999999</v>
      </c>
      <c r="C8" s="1"/>
      <c r="D8" s="1"/>
      <c r="E8" s="1"/>
    </row>
    <row r="9" spans="1:5" ht="28.8" customHeight="1" x14ac:dyDescent="0.3">
      <c r="A9" s="7" t="s">
        <v>134</v>
      </c>
      <c r="B9" s="10">
        <f>Inputs!$B$83</f>
        <v>25354</v>
      </c>
      <c r="C9" s="1"/>
      <c r="D9" s="1"/>
      <c r="E9" s="1"/>
    </row>
    <row r="10" spans="1:5" ht="28.8" customHeight="1" x14ac:dyDescent="0.3">
      <c r="A10" s="7" t="s">
        <v>135</v>
      </c>
      <c r="B10" s="22">
        <f>Inputs!$B$84</f>
        <v>51</v>
      </c>
      <c r="C10" s="1"/>
      <c r="D10" s="1"/>
      <c r="E10" s="1"/>
    </row>
    <row r="11" spans="1:5" ht="28.8" customHeight="1" x14ac:dyDescent="0.3">
      <c r="A11" s="7" t="s">
        <v>136</v>
      </c>
      <c r="B11" s="22">
        <f>Inputs!$B$85</f>
        <v>83.6</v>
      </c>
      <c r="C11" s="1"/>
      <c r="D11" s="1"/>
      <c r="E11" s="1"/>
    </row>
    <row r="12" spans="1:5" ht="28.8" customHeight="1" x14ac:dyDescent="0.3">
      <c r="A12" s="7" t="s">
        <v>137</v>
      </c>
      <c r="B12" s="22">
        <f>Inputs!$B$86</f>
        <v>137.77325013009889</v>
      </c>
      <c r="C12" s="1"/>
      <c r="D12" s="1"/>
      <c r="E12" s="1"/>
    </row>
    <row r="13" spans="1:5" ht="28.8" customHeight="1" x14ac:dyDescent="0.3">
      <c r="A13" s="7" t="s">
        <v>138</v>
      </c>
      <c r="B13" s="10">
        <f>Inputs!$B$87</f>
        <v>2306.0300000000002</v>
      </c>
      <c r="C13" s="1"/>
      <c r="D13" s="1"/>
      <c r="E13" s="1"/>
    </row>
    <row r="14" spans="1:5" ht="28.8" customHeight="1" x14ac:dyDescent="0.3">
      <c r="A14" s="7" t="s">
        <v>139</v>
      </c>
      <c r="B14" s="22">
        <f>Inputs!$B$88</f>
        <v>490.76203648978782</v>
      </c>
      <c r="C14" s="1"/>
      <c r="D14" s="1"/>
      <c r="E14" s="1"/>
    </row>
    <row r="15" spans="1:5" ht="28.8" customHeight="1" x14ac:dyDescent="0.3">
      <c r="A15" s="7" t="s">
        <v>140</v>
      </c>
      <c r="B15" s="10">
        <f>Inputs!$B$89</f>
        <v>1105.3187499999999</v>
      </c>
      <c r="C15" s="1"/>
      <c r="D15" s="1"/>
      <c r="E15" s="1"/>
    </row>
    <row r="16" spans="1:5" x14ac:dyDescent="0.3">
      <c r="A16" s="1"/>
      <c r="B16" s="1"/>
      <c r="C16" s="1"/>
      <c r="D16" s="1"/>
      <c r="E16" s="1"/>
    </row>
    <row r="17" spans="1:5" x14ac:dyDescent="0.3">
      <c r="A17" s="6" t="s">
        <v>251</v>
      </c>
      <c r="B17" s="6" t="s">
        <v>252</v>
      </c>
      <c r="C17" s="6" t="s">
        <v>253</v>
      </c>
      <c r="D17" s="2"/>
      <c r="E17" s="2"/>
    </row>
    <row r="18" spans="1:5" ht="28.8" customHeight="1" x14ac:dyDescent="0.3">
      <c r="A18" s="7" t="s">
        <v>254</v>
      </c>
      <c r="B18" s="10">
        <f>'Operating Budget'!S4</f>
        <v>1986.8554175487277</v>
      </c>
      <c r="C18" s="7" t="s">
        <v>255</v>
      </c>
      <c r="D18" s="1"/>
      <c r="E18" s="1"/>
    </row>
    <row r="19" spans="1:5" ht="57.6" customHeight="1" x14ac:dyDescent="0.3">
      <c r="A19" s="7" t="s">
        <v>256</v>
      </c>
      <c r="B19" s="10">
        <f>Inputs!$B$10/4-B4*(Inputs!$B$10*1000000/SUM('Operating Budget'!I4:I7))/1000000</f>
        <v>184.20077365374209</v>
      </c>
      <c r="C19" s="7" t="s">
        <v>257</v>
      </c>
      <c r="D19" s="1"/>
      <c r="E19" s="1"/>
    </row>
    <row r="20" spans="1:5" ht="43.2" customHeight="1" x14ac:dyDescent="0.3">
      <c r="A20" s="7" t="s">
        <v>258</v>
      </c>
      <c r="B20" s="9">
        <f>B18-B19</f>
        <v>1802.6546438949856</v>
      </c>
      <c r="C20" s="7" t="s">
        <v>259</v>
      </c>
      <c r="D20" s="1"/>
      <c r="E20" s="1"/>
    </row>
    <row r="21" spans="1:5" ht="28.8" customHeight="1" x14ac:dyDescent="0.3">
      <c r="A21" s="6" t="s">
        <v>260</v>
      </c>
      <c r="B21" s="11">
        <f>B5*(B6-Inputs!$B$7-Inputs!$B$38*Inputs!$B$8-Inputs!$B$38*Inputs!$B$9-(Inputs!$B$11*Inputs!$B$39*1000000/Inputs!$B$4))/1000000-Inputs!$B$10/4-Inputs!$B$11*(1-Inputs!$B$39)/4</f>
        <v>1699.3417965086446</v>
      </c>
      <c r="C21" s="6" t="s">
        <v>261</v>
      </c>
      <c r="D21" s="1"/>
      <c r="E21" s="1"/>
    </row>
    <row r="22" spans="1:5" ht="43.2" customHeight="1" x14ac:dyDescent="0.3">
      <c r="A22" s="7" t="s">
        <v>262</v>
      </c>
      <c r="B22" s="9">
        <f>B5*B7/1000000-(B5*B8*B9)/1000000-(B5*B10*B11)/1000000-(B5*B10*B12)/1000000-B13-(B5*B14)/1000000-B15</f>
        <v>1139.5375837396537</v>
      </c>
      <c r="C22" s="7" t="s">
        <v>263</v>
      </c>
      <c r="D22" s="1"/>
      <c r="E22" s="1"/>
    </row>
    <row r="23" spans="1:5" ht="57.6" customHeight="1" x14ac:dyDescent="0.3">
      <c r="A23" s="7" t="s">
        <v>264</v>
      </c>
      <c r="B23" s="9">
        <f>B21-B20</f>
        <v>-103.31284738634099</v>
      </c>
      <c r="C23" s="7" t="s">
        <v>265</v>
      </c>
      <c r="D23" s="1"/>
      <c r="E23" s="1"/>
    </row>
    <row r="24" spans="1:5" ht="57.6" customHeight="1" x14ac:dyDescent="0.3">
      <c r="A24" s="7" t="s">
        <v>266</v>
      </c>
      <c r="B24" s="9">
        <f>(B7-B6)*B5/1000000</f>
        <v>-184.392</v>
      </c>
      <c r="C24" s="7" t="s">
        <v>267</v>
      </c>
      <c r="D24" s="1"/>
      <c r="E24" s="1"/>
    </row>
    <row r="25" spans="1:5" ht="57.6" customHeight="1" x14ac:dyDescent="0.3">
      <c r="A25" s="6" t="s">
        <v>268</v>
      </c>
      <c r="B25" s="11">
        <f>-(B9-Inputs!$B$7)*(B5*B8)/1000000</f>
        <v>-155.67641256960025</v>
      </c>
      <c r="C25" s="6" t="s">
        <v>269</v>
      </c>
      <c r="D25" s="1"/>
      <c r="E25" s="1"/>
    </row>
    <row r="26" spans="1:5" ht="72" customHeight="1" x14ac:dyDescent="0.3">
      <c r="A26" s="7" t="s">
        <v>270</v>
      </c>
      <c r="B26" s="10">
        <f>-((B5*B8)-B5)*Inputs!$B$7/1000000</f>
        <v>-64.368886982398848</v>
      </c>
      <c r="C26" s="7" t="s">
        <v>271</v>
      </c>
      <c r="D26" s="1"/>
      <c r="E26" s="1"/>
    </row>
    <row r="27" spans="1:5" ht="57.6" customHeight="1" x14ac:dyDescent="0.3">
      <c r="A27" s="7" t="s">
        <v>20</v>
      </c>
      <c r="B27" s="10">
        <f>-(B11-Inputs!$B$8)*(B5*B10)/1000000</f>
        <v>-9.1030642559999002</v>
      </c>
      <c r="C27" s="7" t="s">
        <v>272</v>
      </c>
      <c r="D27" s="1"/>
      <c r="E27" s="1"/>
    </row>
    <row r="28" spans="1:5" ht="43.2" customHeight="1" x14ac:dyDescent="0.3">
      <c r="A28" s="7" t="s">
        <v>273</v>
      </c>
      <c r="B28" s="10">
        <f>-((B5*B10)-(B5*Inputs!$B$38))*Inputs!$B$8/1000000</f>
        <v>-30.651850944</v>
      </c>
      <c r="C28" s="7" t="s">
        <v>274</v>
      </c>
      <c r="D28" s="1"/>
      <c r="E28" s="1"/>
    </row>
    <row r="29" spans="1:5" ht="57.6" customHeight="1" x14ac:dyDescent="0.3">
      <c r="A29" s="7" t="s">
        <v>275</v>
      </c>
      <c r="B29" s="10">
        <f>-(B12-Inputs!$B$9)*(B5*B10)/1000000-((B5*B10)-(B5*Inputs!$B$38))*Inputs!$B$9/1000000-(B13-Inputs!$B$10/4)</f>
        <v>-73.173803477471495</v>
      </c>
      <c r="C29" s="7" t="s">
        <v>276</v>
      </c>
      <c r="D29" s="1"/>
      <c r="E29" s="1"/>
    </row>
    <row r="30" spans="1:5" ht="43.2" customHeight="1" x14ac:dyDescent="0.3">
      <c r="A30" s="6" t="s">
        <v>277</v>
      </c>
      <c r="B30" s="11">
        <f>-(B14-(Inputs!$B$11*Inputs!$B$39*1000000/Inputs!$B$4))*B5/1000000-(B15-Inputs!$B$11*(1-Inputs!$B$39)/4)</f>
        <v>-42.438194539519728</v>
      </c>
      <c r="C30" s="6" t="s">
        <v>278</v>
      </c>
    </row>
    <row r="31" spans="1:5" ht="28.8" customHeight="1" x14ac:dyDescent="0.3">
      <c r="A31" s="6" t="s">
        <v>279</v>
      </c>
      <c r="B31" s="11">
        <f>B20+SUM(B23:B30)-B22</f>
        <v>0</v>
      </c>
      <c r="C31" s="6" t="s">
        <v>280</v>
      </c>
    </row>
    <row r="34" spans="1:5" x14ac:dyDescent="0.3">
      <c r="A34" s="6" t="s">
        <v>281</v>
      </c>
      <c r="B34" s="6" t="s">
        <v>245</v>
      </c>
      <c r="C34" s="6" t="s">
        <v>246</v>
      </c>
      <c r="D34" s="6" t="s">
        <v>247</v>
      </c>
      <c r="E34" s="6" t="s">
        <v>101</v>
      </c>
    </row>
    <row r="35" spans="1:5" x14ac:dyDescent="0.3">
      <c r="A35" s="7" t="s">
        <v>213</v>
      </c>
      <c r="B35" s="9">
        <f>B4</f>
        <v>376310</v>
      </c>
      <c r="C35" s="9">
        <f>B5</f>
        <v>368784</v>
      </c>
      <c r="D35" s="9">
        <f>B5</f>
        <v>368784</v>
      </c>
      <c r="E35" s="7" t="s">
        <v>282</v>
      </c>
    </row>
    <row r="36" spans="1:5" x14ac:dyDescent="0.3">
      <c r="A36" s="7" t="s">
        <v>283</v>
      </c>
      <c r="B36" s="9">
        <f>B6</f>
        <v>50152.5246481176</v>
      </c>
      <c r="C36" s="9">
        <f>B6</f>
        <v>50152.5246481176</v>
      </c>
      <c r="D36" s="9">
        <f>B7</f>
        <v>49652.5246481176</v>
      </c>
      <c r="E36" s="7" t="s">
        <v>284</v>
      </c>
    </row>
    <row r="37" spans="1:5" x14ac:dyDescent="0.3">
      <c r="A37" s="7" t="s">
        <v>215</v>
      </c>
      <c r="B37" s="9">
        <f>B35*B36/1000000</f>
        <v>18872.896550333135</v>
      </c>
      <c r="C37" s="9">
        <f>C35*C36/1000000</f>
        <v>18495.448649831404</v>
      </c>
      <c r="D37" s="9">
        <f>D35*D36/1000000</f>
        <v>18311.0566498314</v>
      </c>
      <c r="E37" s="7" t="s">
        <v>285</v>
      </c>
    </row>
    <row r="38" spans="1:5" x14ac:dyDescent="0.3">
      <c r="A38" s="7" t="s">
        <v>286</v>
      </c>
      <c r="B38" s="10">
        <f>-B35*Inputs!$B$7/1000000</f>
        <v>-9383.2145880000007</v>
      </c>
      <c r="C38" s="10">
        <f>-C35*Inputs!$B$7/1000000</f>
        <v>-9195.5552831999994</v>
      </c>
      <c r="D38" s="9">
        <f>-B5*B8*B9/1000000</f>
        <v>-9415.6005827519984</v>
      </c>
      <c r="E38" s="7" t="s">
        <v>287</v>
      </c>
    </row>
    <row r="39" spans="1:5" x14ac:dyDescent="0.3">
      <c r="A39" s="7" t="s">
        <v>288</v>
      </c>
      <c r="B39" s="10">
        <f>-B35*Inputs!$B$38*Inputs!$B$8/1000000</f>
        <v>-1563.8690979999999</v>
      </c>
      <c r="C39" s="10">
        <f>-C35*Inputs!$B$38*Inputs!$B$8/1000000</f>
        <v>-1532.5925472000001</v>
      </c>
      <c r="D39" s="9">
        <f>-B5*B10*B11/1000000</f>
        <v>-1572.3474623999998</v>
      </c>
      <c r="E39" s="7" t="s">
        <v>289</v>
      </c>
    </row>
    <row r="40" spans="1:5" x14ac:dyDescent="0.3">
      <c r="A40" s="7" t="s">
        <v>290</v>
      </c>
      <c r="B40" s="10">
        <f>-B35*Inputs!$B$38*Inputs!$B$9/1000000</f>
        <v>-2585.808067653742</v>
      </c>
      <c r="C40" s="10">
        <f>-C35*Inputs!$B$38*Inputs!$B$9/1000000</f>
        <v>-2534.0932805974262</v>
      </c>
      <c r="D40" s="9">
        <f>-B5*B10*B12/1000000</f>
        <v>-2591.2370840748977</v>
      </c>
      <c r="E40" s="7" t="s">
        <v>291</v>
      </c>
    </row>
    <row r="41" spans="1:5" x14ac:dyDescent="0.3">
      <c r="A41" s="7" t="s">
        <v>292</v>
      </c>
      <c r="B41" s="10">
        <f>-Inputs!$B$10/4</f>
        <v>-2290</v>
      </c>
      <c r="C41" s="10">
        <f>-Inputs!$B$10/4</f>
        <v>-2290</v>
      </c>
      <c r="D41" s="9">
        <f>-B13</f>
        <v>-2306.0300000000002</v>
      </c>
      <c r="E41" s="7" t="s">
        <v>293</v>
      </c>
    </row>
    <row r="42" spans="1:5" x14ac:dyDescent="0.3">
      <c r="A42" s="7" t="s">
        <v>294</v>
      </c>
      <c r="B42" s="10">
        <f>-B35*(Inputs!$B$11*Inputs!$B$39*1000000/Inputs!$B$4)/1000000</f>
        <v>-174.22515278440758</v>
      </c>
      <c r="C42" s="10">
        <f>-C35*(Inputs!$B$11*Inputs!$B$39*1000000/Inputs!$B$4)/1000000</f>
        <v>-170.7407423253301</v>
      </c>
      <c r="D42" s="9">
        <f>-B5*B14/1000000</f>
        <v>-180.98518686484994</v>
      </c>
      <c r="E42" s="7" t="s">
        <v>295</v>
      </c>
    </row>
    <row r="43" spans="1:5" x14ac:dyDescent="0.3">
      <c r="A43" s="7" t="s">
        <v>296</v>
      </c>
      <c r="B43" s="10">
        <f>-Inputs!$B$11*(1-Inputs!$B$39)/4</f>
        <v>-1073.125</v>
      </c>
      <c r="C43" s="10">
        <f>-Inputs!$B$11*(1-Inputs!$B$39)/4</f>
        <v>-1073.125</v>
      </c>
      <c r="D43" s="9">
        <f>-B15</f>
        <v>-1105.3187499999999</v>
      </c>
      <c r="E43" s="7" t="s">
        <v>297</v>
      </c>
    </row>
    <row r="44" spans="1:5" x14ac:dyDescent="0.3">
      <c r="A44" s="7" t="s">
        <v>298</v>
      </c>
      <c r="B44" s="9">
        <f>SUM(B37:B43)</f>
        <v>1802.654643894984</v>
      </c>
      <c r="C44" s="9">
        <f>SUM(C37:C43)</f>
        <v>1699.3417965086478</v>
      </c>
      <c r="D44" s="9">
        <f>SUM(D37:D43)</f>
        <v>1139.5375837396537</v>
      </c>
      <c r="E44" s="7" t="s">
        <v>299</v>
      </c>
    </row>
    <row r="45" spans="1:5" x14ac:dyDescent="0.3">
      <c r="A45" s="7" t="s">
        <v>300</v>
      </c>
      <c r="B45" s="9">
        <f>B44-B20</f>
        <v>0</v>
      </c>
      <c r="C45" s="9">
        <f>C44-B21</f>
        <v>3.1832314562052488E-12</v>
      </c>
      <c r="D45" s="9">
        <f>D44-B22</f>
        <v>0</v>
      </c>
      <c r="E45" s="7" t="s">
        <v>301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1"/>
  <sheetViews>
    <sheetView showGridLines="0" workbookViewId="0">
      <pane ySplit="3" topLeftCell="A4" activePane="bottomLeft" state="frozen"/>
      <selection pane="bottomLeft"/>
    </sheetView>
  </sheetViews>
  <sheetFormatPr defaultRowHeight="14.4" x14ac:dyDescent="0.3"/>
  <cols>
    <col min="1" max="14" width="15" customWidth="1"/>
  </cols>
  <sheetData>
    <row r="1" spans="1:14" ht="42" customHeight="1" x14ac:dyDescent="0.3">
      <c r="A1" s="6" t="s">
        <v>302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6" customHeight="1" x14ac:dyDescent="0.3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8.8" customHeight="1" x14ac:dyDescent="0.3">
      <c r="A3" s="6" t="s">
        <v>303</v>
      </c>
      <c r="B3" s="6" t="s">
        <v>304</v>
      </c>
      <c r="C3" s="6" t="s">
        <v>305</v>
      </c>
      <c r="D3" s="6" t="s">
        <v>306</v>
      </c>
      <c r="E3" s="6" t="s">
        <v>307</v>
      </c>
      <c r="F3" s="6" t="s">
        <v>308</v>
      </c>
      <c r="G3" s="6" t="s">
        <v>43</v>
      </c>
      <c r="H3" s="6" t="s">
        <v>309</v>
      </c>
      <c r="I3" s="6" t="s">
        <v>310</v>
      </c>
      <c r="J3" s="6" t="s">
        <v>311</v>
      </c>
      <c r="K3" s="6" t="s">
        <v>312</v>
      </c>
      <c r="L3" s="6" t="s">
        <v>313</v>
      </c>
      <c r="M3" s="6" t="s">
        <v>314</v>
      </c>
      <c r="N3" s="6" t="s">
        <v>315</v>
      </c>
    </row>
    <row r="4" spans="1:14" x14ac:dyDescent="0.3">
      <c r="A4" s="9">
        <v>0</v>
      </c>
      <c r="B4" s="7" t="s">
        <v>316</v>
      </c>
      <c r="C4" s="1"/>
      <c r="D4" s="1"/>
      <c r="E4" s="1"/>
      <c r="F4" s="1"/>
      <c r="G4" s="1"/>
      <c r="H4" s="1"/>
      <c r="I4" s="1"/>
      <c r="J4" s="10">
        <f>-Inputs!$B$56</f>
        <v>-2600</v>
      </c>
      <c r="K4" s="23">
        <f>1</f>
        <v>1</v>
      </c>
      <c r="L4" s="9">
        <f>J4</f>
        <v>-2600</v>
      </c>
      <c r="M4" s="9">
        <f>J4</f>
        <v>-2600</v>
      </c>
      <c r="N4" s="9">
        <f>L4</f>
        <v>-2600</v>
      </c>
    </row>
    <row r="5" spans="1:14" ht="28.8" customHeight="1" x14ac:dyDescent="0.3">
      <c r="A5" s="9">
        <v>1</v>
      </c>
      <c r="B5" s="7" t="s">
        <v>317</v>
      </c>
      <c r="C5" s="1"/>
      <c r="D5" s="1"/>
      <c r="E5" s="1"/>
      <c r="F5" s="1"/>
      <c r="G5" s="1"/>
      <c r="H5" s="1"/>
      <c r="I5" s="1"/>
      <c r="J5" s="9">
        <f>0</f>
        <v>0</v>
      </c>
      <c r="K5" s="22">
        <f>1/(1+Inputs!$B$55)^A5</f>
        <v>0.90909090909090906</v>
      </c>
      <c r="L5" s="9">
        <f t="shared" ref="L5:L10" si="0">J5*K5</f>
        <v>0</v>
      </c>
      <c r="M5" s="9">
        <f t="shared" ref="M5:M10" si="1">M4+J5</f>
        <v>-2600</v>
      </c>
      <c r="N5" s="9">
        <f t="shared" ref="N5:N10" si="2">N4+L5</f>
        <v>-2600</v>
      </c>
    </row>
    <row r="6" spans="1:14" x14ac:dyDescent="0.3">
      <c r="A6" s="9">
        <v>2</v>
      </c>
      <c r="B6" s="9">
        <v>1</v>
      </c>
      <c r="C6" s="10">
        <f>Inputs!B$62</f>
        <v>107848</v>
      </c>
      <c r="D6" s="10">
        <f>'Operating Budget'!E8-(Inputs!$C$7+Inputs!$B$38*Inputs!$C$8+Inputs!$B$38*Inputs!$C$9+Inputs!$C$11*Inputs!$B$39*1000000/Inputs!$C$4)</f>
        <v>13143.160114683058</v>
      </c>
      <c r="E6" s="9">
        <f>C6*D6/1000000</f>
        <v>1417.4635320483385</v>
      </c>
      <c r="F6" s="10">
        <f>Inputs!$B$57</f>
        <v>100</v>
      </c>
      <c r="G6" s="10">
        <f>Inputs!$B$58</f>
        <v>520</v>
      </c>
      <c r="H6" s="9">
        <f>E6-F6-G6</f>
        <v>797.46353204833849</v>
      </c>
      <c r="I6" s="10">
        <f>H6*Inputs!$B$59</f>
        <v>167.46734173015108</v>
      </c>
      <c r="J6" s="9">
        <f>H6-I6+G6</f>
        <v>1149.9961903181875</v>
      </c>
      <c r="K6" s="22">
        <f>1/(1+Inputs!$B$55)^A6</f>
        <v>0.82644628099173545</v>
      </c>
      <c r="L6" s="9">
        <f t="shared" si="0"/>
        <v>950.41007464313009</v>
      </c>
      <c r="M6" s="9">
        <f t="shared" si="1"/>
        <v>-1450.0038096818125</v>
      </c>
      <c r="N6" s="9">
        <f t="shared" si="2"/>
        <v>-1649.58992535687</v>
      </c>
    </row>
    <row r="7" spans="1:14" x14ac:dyDescent="0.3">
      <c r="A7" s="9">
        <v>3</v>
      </c>
      <c r="B7" s="9">
        <v>2</v>
      </c>
      <c r="C7" s="10">
        <f>Inputs!C$62</f>
        <v>103033</v>
      </c>
      <c r="D7" s="10">
        <f>'Operating Budget'!E8-(Inputs!$C$7+Inputs!$B$38*Inputs!$C$8+Inputs!$B$38*Inputs!$C$9+Inputs!$C$11*Inputs!$B$39*1000000/Inputs!$C$4)</f>
        <v>13143.160114683058</v>
      </c>
      <c r="E7" s="9">
        <f>C7*D7/1000000</f>
        <v>1354.1792160961395</v>
      </c>
      <c r="F7" s="10">
        <f>Inputs!$B$57</f>
        <v>100</v>
      </c>
      <c r="G7" s="10">
        <f>Inputs!$B$58</f>
        <v>520</v>
      </c>
      <c r="H7" s="9">
        <f>E7-F7-G7</f>
        <v>734.1792160961395</v>
      </c>
      <c r="I7" s="10">
        <f>H7*Inputs!$B$59</f>
        <v>154.17763538018929</v>
      </c>
      <c r="J7" s="9">
        <f>H7-I7+G7</f>
        <v>1100.0015807159502</v>
      </c>
      <c r="K7" s="22">
        <f>1/(1+Inputs!$B$55)^A7</f>
        <v>0.75131480090157754</v>
      </c>
      <c r="L7" s="9">
        <f t="shared" si="0"/>
        <v>826.44746860702469</v>
      </c>
      <c r="M7" s="9">
        <f t="shared" si="1"/>
        <v>-350.00222896586229</v>
      </c>
      <c r="N7" s="9">
        <f t="shared" si="2"/>
        <v>-823.14245674984534</v>
      </c>
    </row>
    <row r="8" spans="1:14" x14ac:dyDescent="0.3">
      <c r="A8" s="9">
        <v>4</v>
      </c>
      <c r="B8" s="9">
        <v>3</v>
      </c>
      <c r="C8" s="10">
        <f>Inputs!D$62</f>
        <v>98217</v>
      </c>
      <c r="D8" s="10">
        <f>'Operating Budget'!E8-(Inputs!$C$7+Inputs!$B$38*Inputs!$C$8+Inputs!$B$38*Inputs!$C$9+Inputs!$C$11*Inputs!$B$39*1000000/Inputs!$C$4)</f>
        <v>13143.160114683058</v>
      </c>
      <c r="E8" s="9">
        <f>C8*D8/1000000</f>
        <v>1290.8817569838259</v>
      </c>
      <c r="F8" s="10">
        <f>Inputs!$B$57</f>
        <v>100</v>
      </c>
      <c r="G8" s="10">
        <f>Inputs!$B$58</f>
        <v>520</v>
      </c>
      <c r="H8" s="9">
        <f>E8-F8-G8</f>
        <v>670.88175698382588</v>
      </c>
      <c r="I8" s="10">
        <f>H8*Inputs!$B$59</f>
        <v>140.88516896660343</v>
      </c>
      <c r="J8" s="9">
        <f>H8-I8+G8</f>
        <v>1049.9965880172224</v>
      </c>
      <c r="K8" s="22">
        <f>1/(1+Inputs!$B$55)^A8</f>
        <v>0.68301345536507052</v>
      </c>
      <c r="L8" s="9">
        <f t="shared" si="0"/>
        <v>717.16179770317751</v>
      </c>
      <c r="M8" s="9">
        <f t="shared" si="1"/>
        <v>699.99435905136011</v>
      </c>
      <c r="N8" s="9">
        <f t="shared" si="2"/>
        <v>-105.98065904666782</v>
      </c>
    </row>
    <row r="9" spans="1:14" x14ac:dyDescent="0.3">
      <c r="A9" s="9">
        <v>5</v>
      </c>
      <c r="B9" s="9">
        <v>4</v>
      </c>
      <c r="C9" s="10">
        <f>Inputs!E$62</f>
        <v>93402</v>
      </c>
      <c r="D9" s="10">
        <f>'Operating Budget'!E8-(Inputs!$C$7+Inputs!$B$38*Inputs!$C$8+Inputs!$B$38*Inputs!$C$9+Inputs!$C$11*Inputs!$B$39*1000000/Inputs!$C$4)</f>
        <v>13143.160114683058</v>
      </c>
      <c r="E9" s="9">
        <f>C9*D9/1000000</f>
        <v>1227.5974410316269</v>
      </c>
      <c r="F9" s="10">
        <f>Inputs!$B$57</f>
        <v>100</v>
      </c>
      <c r="G9" s="10">
        <f>Inputs!$B$58</f>
        <v>520</v>
      </c>
      <c r="H9" s="9">
        <f>E9-F9-G9</f>
        <v>607.59744103162689</v>
      </c>
      <c r="I9" s="10">
        <f>H9*Inputs!$B$59</f>
        <v>127.59546261664164</v>
      </c>
      <c r="J9" s="9">
        <f>H9-I9+G9</f>
        <v>1000.0019784149853</v>
      </c>
      <c r="K9" s="22">
        <f>1/(1+Inputs!$B$55)^A9</f>
        <v>0.62092132305915493</v>
      </c>
      <c r="L9" s="9">
        <f t="shared" si="0"/>
        <v>620.92255149920516</v>
      </c>
      <c r="M9" s="9">
        <f t="shared" si="1"/>
        <v>1699.9963374663453</v>
      </c>
      <c r="N9" s="9">
        <f t="shared" si="2"/>
        <v>514.94189245253733</v>
      </c>
    </row>
    <row r="10" spans="1:14" x14ac:dyDescent="0.3">
      <c r="A10" s="9">
        <v>6</v>
      </c>
      <c r="B10" s="9">
        <v>5</v>
      </c>
      <c r="C10" s="10">
        <f>Inputs!F$62</f>
        <v>88586</v>
      </c>
      <c r="D10" s="10">
        <f>'Operating Budget'!E8-(Inputs!$C$7+Inputs!$B$38*Inputs!$C$8+Inputs!$B$38*Inputs!$C$9+Inputs!$C$11*Inputs!$B$39*1000000/Inputs!$C$4)</f>
        <v>13143.160114683058</v>
      </c>
      <c r="E10" s="9">
        <f>C10*D10/1000000</f>
        <v>1164.2999819193135</v>
      </c>
      <c r="F10" s="10">
        <f>Inputs!$B$57</f>
        <v>100</v>
      </c>
      <c r="G10" s="10">
        <f>Inputs!$B$58</f>
        <v>520</v>
      </c>
      <c r="H10" s="9">
        <f>E10-F10-G10</f>
        <v>544.2999819193135</v>
      </c>
      <c r="I10" s="10">
        <f>H10*Inputs!$B$59</f>
        <v>114.30299620305583</v>
      </c>
      <c r="J10" s="9">
        <f>H10-I10+G10</f>
        <v>949.99698571625765</v>
      </c>
      <c r="K10" s="22">
        <f>1/(1+Inputs!$B$55)^A10</f>
        <v>0.56447393005377722</v>
      </c>
      <c r="L10" s="9">
        <f t="shared" si="0"/>
        <v>536.248532066498</v>
      </c>
      <c r="M10" s="9">
        <f t="shared" si="1"/>
        <v>2649.993323182603</v>
      </c>
      <c r="N10" s="9">
        <f t="shared" si="2"/>
        <v>1051.1904245190353</v>
      </c>
    </row>
    <row r="11" spans="1:1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7" t="s">
        <v>318</v>
      </c>
      <c r="B13" s="7" t="s">
        <v>319</v>
      </c>
      <c r="C13" s="7" t="s">
        <v>253</v>
      </c>
      <c r="D13" s="2"/>
      <c r="E13" s="2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7" t="s">
        <v>320</v>
      </c>
      <c r="B14" s="10">
        <f>NPV(Inputs!$B$55,J5:J10)+J4</f>
        <v>1051.1904245190353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7" t="s">
        <v>321</v>
      </c>
      <c r="B15" s="14">
        <f>IRR(J4:J10)</f>
        <v>0.20795067432689507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7" t="s">
        <v>322</v>
      </c>
      <c r="B16" s="24">
        <f>3+(Inputs!$B$56-SUM(J6:J7))/J8</f>
        <v>3.3333365393375178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28.8" customHeight="1" x14ac:dyDescent="0.3">
      <c r="A17" s="6" t="s">
        <v>323</v>
      </c>
      <c r="B17" s="25">
        <f>4+(Inputs!$B$56-SUM(L5:L8))/L9</f>
        <v>4.1706825735202875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7" t="s">
        <v>324</v>
      </c>
      <c r="B20" s="7" t="s">
        <v>325</v>
      </c>
      <c r="C20" s="7" t="s">
        <v>326</v>
      </c>
      <c r="D20" s="7" t="s">
        <v>327</v>
      </c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13">
        <f>Inputs!$B$96</f>
        <v>0.08</v>
      </c>
      <c r="B21" s="11">
        <f>NPV($A21,$J$5*Inputs!$B$122,$J$6*Inputs!$B$122,$J$7*Inputs!$B$122,$J$8*Inputs!$B$122,$J$9*Inputs!$B$122,$J$10*Inputs!$B$122)+$J$4</f>
        <v>919.15815175311309</v>
      </c>
      <c r="C21" s="11">
        <f>NPV($A21,$J$5*Inputs!$C$122,$J$6*Inputs!$C$122,$J$7*Inputs!$C$122,$J$8*Inputs!$C$122,$J$9*Inputs!$C$122,$J$10*Inputs!$C$122)+$J$4</f>
        <v>1310.1757241701252</v>
      </c>
      <c r="D21" s="11">
        <f>NPV($A21,$J$5*Inputs!$D$122,$J$6*Inputs!$D$122,$J$7*Inputs!$D$122,$J$8*Inputs!$D$122,$J$9*Inputs!$D$122,$J$10*Inputs!$D$122)+$J$4</f>
        <v>1701.1932965871383</v>
      </c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19">
        <f>Inputs!$C$96</f>
        <v>0.1</v>
      </c>
      <c r="B22" s="9">
        <f>NPV($A22,$J$5*Inputs!$B$122,$J$6*Inputs!$B$122,$J$7*Inputs!$B$122,$J$8*Inputs!$B$122,$J$9*Inputs!$B$122,$J$10*Inputs!$B$122)+$J$4</f>
        <v>686.07138206713171</v>
      </c>
      <c r="C22" s="9">
        <f>NPV($A22,$J$5*Inputs!$C$122,$J$6*Inputs!$C$122,$J$7*Inputs!$C$122,$J$8*Inputs!$C$122,$J$9*Inputs!$C$122,$J$10*Inputs!$C$122)+$J$4</f>
        <v>1051.1904245190353</v>
      </c>
      <c r="D22" s="9">
        <f>NPV($A22,$J$5*Inputs!$D$122,$J$6*Inputs!$D$122,$J$7*Inputs!$D$122,$J$8*Inputs!$D$122,$J$9*Inputs!$D$122,$J$10*Inputs!$D$122)+$J$4</f>
        <v>1416.309466970939</v>
      </c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19">
        <f>Inputs!$D$96</f>
        <v>0.12</v>
      </c>
      <c r="B23" s="9">
        <f>NPV($A23,$J$5*Inputs!$B$122,$J$6*Inputs!$B$122,$J$7*Inputs!$B$122,$J$8*Inputs!$B$122,$J$9*Inputs!$B$122,$J$10*Inputs!$B$122)+$J$4</f>
        <v>474.17243509632681</v>
      </c>
      <c r="C23" s="9">
        <f>NPV($A23,$J$5*Inputs!$C$122,$J$6*Inputs!$C$122,$J$7*Inputs!$C$122,$J$8*Inputs!$C$122,$J$9*Inputs!$C$122,$J$10*Inputs!$C$122)+$J$4</f>
        <v>815.74715010703039</v>
      </c>
      <c r="D23" s="9">
        <f>NPV($A23,$J$5*Inputs!$D$122,$J$6*Inputs!$D$122,$J$7*Inputs!$D$122,$J$8*Inputs!$D$122,$J$9*Inputs!$D$122,$J$10*Inputs!$D$122)+$J$4</f>
        <v>1157.321865117734</v>
      </c>
      <c r="E23" s="1"/>
      <c r="F23" s="1"/>
      <c r="G23" s="1"/>
      <c r="H23" s="1"/>
      <c r="I23" s="1"/>
      <c r="J23" s="1"/>
      <c r="K23" s="1"/>
      <c r="L23" s="1"/>
      <c r="M23" s="1"/>
      <c r="N23" s="1"/>
    </row>
    <row r="25" spans="1:14" x14ac:dyDescent="0.3">
      <c r="A25" s="6" t="s">
        <v>328</v>
      </c>
      <c r="B25" s="6" t="s">
        <v>253</v>
      </c>
      <c r="C25" s="6" t="s">
        <v>319</v>
      </c>
    </row>
    <row r="26" spans="1:14" x14ac:dyDescent="0.3">
      <c r="A26" s="7" t="s">
        <v>329</v>
      </c>
      <c r="B26" s="19">
        <f>Inputs!$B$48/(Inputs!$B$48+Inputs!$B$50)</f>
        <v>0.10028940202459306</v>
      </c>
      <c r="C26" s="14">
        <f t="shared" ref="C26:C31" si="3">B26</f>
        <v>0.10028940202459306</v>
      </c>
    </row>
    <row r="27" spans="1:14" x14ac:dyDescent="0.3">
      <c r="A27" s="7" t="s">
        <v>330</v>
      </c>
      <c r="B27" s="14">
        <f>1-B26</f>
        <v>0.89971059797540698</v>
      </c>
      <c r="C27" s="14">
        <f t="shared" si="3"/>
        <v>0.89971059797540698</v>
      </c>
    </row>
    <row r="28" spans="1:14" x14ac:dyDescent="0.3">
      <c r="A28" s="7" t="s">
        <v>331</v>
      </c>
      <c r="B28" s="19">
        <f>Inputs!$B$51+Inputs!$B$52*Inputs!$B$53</f>
        <v>0.1076</v>
      </c>
      <c r="C28" s="14">
        <f t="shared" si="3"/>
        <v>0.1076</v>
      </c>
    </row>
    <row r="29" spans="1:14" ht="28.8" customHeight="1" x14ac:dyDescent="0.3">
      <c r="A29" s="7" t="s">
        <v>332</v>
      </c>
      <c r="B29" s="19">
        <f>Inputs!$B$54*(1-Inputs!$B$59)</f>
        <v>3.9500000000000007E-2</v>
      </c>
      <c r="C29" s="14">
        <f t="shared" si="3"/>
        <v>3.9500000000000007E-2</v>
      </c>
    </row>
    <row r="30" spans="1:14" ht="28.8" customHeight="1" x14ac:dyDescent="0.3">
      <c r="A30" s="6" t="s">
        <v>333</v>
      </c>
      <c r="B30" s="13">
        <f>B26*B29+B27*B28</f>
        <v>0.10077029172212522</v>
      </c>
      <c r="C30" s="13">
        <f t="shared" si="3"/>
        <v>0.10077029172212522</v>
      </c>
    </row>
    <row r="31" spans="1:14" ht="28.8" customHeight="1" x14ac:dyDescent="0.3">
      <c r="A31" s="6" t="s">
        <v>334</v>
      </c>
      <c r="B31" s="13">
        <f>Inputs!$B$55</f>
        <v>0.1</v>
      </c>
      <c r="C31" s="13">
        <f t="shared" si="3"/>
        <v>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6"/>
  <sheetViews>
    <sheetView showGridLines="0" workbookViewId="0">
      <pane ySplit="3" topLeftCell="A4" activePane="bottomLeft" state="frozen"/>
      <selection pane="bottomLeft"/>
    </sheetView>
  </sheetViews>
  <sheetFormatPr defaultRowHeight="14.4" x14ac:dyDescent="0.3"/>
  <cols>
    <col min="1" max="1" width="34" customWidth="1"/>
    <col min="2" max="15" width="15" customWidth="1"/>
  </cols>
  <sheetData>
    <row r="1" spans="1:15" ht="21" customHeight="1" x14ac:dyDescent="0.3">
      <c r="A1" s="6" t="s">
        <v>335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6" customHeight="1" x14ac:dyDescent="0.3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6" t="s">
        <v>210</v>
      </c>
      <c r="B3" s="6" t="s">
        <v>215</v>
      </c>
      <c r="C3" s="6" t="s">
        <v>225</v>
      </c>
      <c r="D3" s="6" t="s">
        <v>336</v>
      </c>
      <c r="E3" s="6" t="s">
        <v>29</v>
      </c>
      <c r="F3" s="6" t="s">
        <v>226</v>
      </c>
      <c r="G3" s="6" t="s">
        <v>31</v>
      </c>
      <c r="H3" s="6" t="s">
        <v>337</v>
      </c>
      <c r="I3" s="6" t="s">
        <v>338</v>
      </c>
      <c r="J3" s="6" t="s">
        <v>339</v>
      </c>
      <c r="K3" s="6" t="s">
        <v>340</v>
      </c>
      <c r="L3" s="6" t="s">
        <v>341</v>
      </c>
      <c r="M3" s="6" t="s">
        <v>310</v>
      </c>
      <c r="N3" s="6" t="s">
        <v>342</v>
      </c>
      <c r="O3" s="1"/>
    </row>
    <row r="4" spans="1:15" x14ac:dyDescent="0.3">
      <c r="A4" s="18">
        <v>2025</v>
      </c>
      <c r="B4" s="10">
        <f>'Operating Budget'!B18+Inputs!$B$71</f>
        <v>94827</v>
      </c>
      <c r="C4" s="10">
        <f>'Operating Budget'!C18+Inputs!$B$72</f>
        <v>77733</v>
      </c>
      <c r="D4" s="9">
        <f>B4-C4</f>
        <v>17094</v>
      </c>
      <c r="E4" s="10">
        <f>Inputs!$B$13</f>
        <v>6411</v>
      </c>
      <c r="F4" s="10">
        <f>Inputs!$B$14</f>
        <v>5834</v>
      </c>
      <c r="G4" s="10">
        <f>Inputs!$B$15</f>
        <v>494</v>
      </c>
      <c r="H4" s="9">
        <f>D4-E4-F4-G4</f>
        <v>4355</v>
      </c>
      <c r="I4" s="10">
        <f>Inputs!$B$16</f>
        <v>1680</v>
      </c>
      <c r="J4" s="10">
        <f>Inputs!$B$48*Inputs!$B$54+Inputs!$B$77</f>
        <v>338</v>
      </c>
      <c r="K4" s="10">
        <f>Inputs!$B$18</f>
        <v>-419</v>
      </c>
      <c r="L4" s="9">
        <f>H4+I4-J4+K4</f>
        <v>5278</v>
      </c>
      <c r="M4" s="10">
        <f>IF(Inputs!$B$19="",L4*Inputs!$B$20,Inputs!$B$19)</f>
        <v>1423</v>
      </c>
      <c r="N4" s="9">
        <f>L4-M4</f>
        <v>3855</v>
      </c>
      <c r="O4" s="1"/>
    </row>
    <row r="5" spans="1:15" x14ac:dyDescent="0.3">
      <c r="A5" s="18">
        <v>2026</v>
      </c>
      <c r="B5" s="10">
        <f>'Operating Budget'!B19+Inputs!$C$71</f>
        <v>95023</v>
      </c>
      <c r="C5" s="10">
        <f>'Operating Budget'!C19+Inputs!$C$72</f>
        <v>77919</v>
      </c>
      <c r="D5" s="9">
        <f>B5-C5</f>
        <v>17104</v>
      </c>
      <c r="E5" s="10">
        <f>Inputs!$C$13</f>
        <v>7693</v>
      </c>
      <c r="F5" s="10">
        <f>Inputs!$C$14</f>
        <v>6126</v>
      </c>
      <c r="G5" s="10">
        <f>Inputs!$C$15</f>
        <v>247</v>
      </c>
      <c r="H5" s="9">
        <f>D5-E5-F5-G5</f>
        <v>3038</v>
      </c>
      <c r="I5" s="10">
        <f>Inputs!$C$16</f>
        <v>1200</v>
      </c>
      <c r="J5" s="10">
        <f>I16*Inputs!$B$54+Inputs!$C$77</f>
        <v>300</v>
      </c>
      <c r="K5" s="10">
        <f>Inputs!$C$18</f>
        <v>0</v>
      </c>
      <c r="L5" s="9">
        <f>H5+I5-J5+K5</f>
        <v>3938</v>
      </c>
      <c r="M5" s="10">
        <f>IF(Inputs!$C$19="",L5*Inputs!$C$20,Inputs!$C$19)</f>
        <v>826.98</v>
      </c>
      <c r="N5" s="9">
        <f>L5-M5</f>
        <v>3111.02</v>
      </c>
      <c r="O5" s="1"/>
    </row>
    <row r="6" spans="1:15" x14ac:dyDescent="0.3">
      <c r="A6" s="18">
        <v>2027</v>
      </c>
      <c r="B6" s="10">
        <f>'Operating Budget'!B20+Inputs!$D$71</f>
        <v>99774</v>
      </c>
      <c r="C6" s="10">
        <f>'Operating Budget'!C20+Inputs!$D$72</f>
        <v>81815</v>
      </c>
      <c r="D6" s="9">
        <f>B6-C6</f>
        <v>17959</v>
      </c>
      <c r="E6" s="10">
        <f>Inputs!$D$13</f>
        <v>7963</v>
      </c>
      <c r="F6" s="10">
        <f>Inputs!$D$14</f>
        <v>6257</v>
      </c>
      <c r="G6" s="10">
        <f>Inputs!$D$15</f>
        <v>130</v>
      </c>
      <c r="H6" s="9">
        <f>D6-E6-F6-G6</f>
        <v>3609</v>
      </c>
      <c r="I6" s="10">
        <f>Inputs!$D$16</f>
        <v>1250</v>
      </c>
      <c r="J6" s="10">
        <f>I17*Inputs!$B$54+Inputs!$D$77</f>
        <v>650</v>
      </c>
      <c r="K6" s="10">
        <f>Inputs!$D$18</f>
        <v>0</v>
      </c>
      <c r="L6" s="9">
        <f>H6+I6-J6+K6</f>
        <v>4209</v>
      </c>
      <c r="M6" s="10">
        <f>IF(Inputs!$D$19="",L6*Inputs!$D$20,Inputs!$D$19)</f>
        <v>883.89</v>
      </c>
      <c r="N6" s="9">
        <f>L6-M6</f>
        <v>3325.11</v>
      </c>
      <c r="O6" s="1"/>
    </row>
    <row r="7" spans="1:15" x14ac:dyDescent="0.3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3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8.8" customHeight="1" x14ac:dyDescent="0.3">
      <c r="A9" s="18" t="s">
        <v>210</v>
      </c>
      <c r="B9" s="7" t="s">
        <v>343</v>
      </c>
      <c r="C9" s="7" t="s">
        <v>344</v>
      </c>
      <c r="D9" s="7" t="s">
        <v>345</v>
      </c>
      <c r="E9" s="7" t="s">
        <v>346</v>
      </c>
      <c r="F9" s="7" t="s">
        <v>347</v>
      </c>
      <c r="G9" s="7" t="s">
        <v>338</v>
      </c>
      <c r="H9" s="7" t="s">
        <v>339</v>
      </c>
      <c r="I9" s="7" t="s">
        <v>340</v>
      </c>
      <c r="J9" s="7" t="s">
        <v>310</v>
      </c>
      <c r="K9" s="7" t="s">
        <v>348</v>
      </c>
      <c r="L9" s="7" t="s">
        <v>349</v>
      </c>
      <c r="M9" s="7" t="s">
        <v>350</v>
      </c>
      <c r="N9" s="7" t="s">
        <v>351</v>
      </c>
      <c r="O9" s="7" t="s">
        <v>352</v>
      </c>
    </row>
    <row r="10" spans="1:15" x14ac:dyDescent="0.3">
      <c r="A10" s="18">
        <v>2025</v>
      </c>
      <c r="B10" s="10">
        <f>B4+Inputs!$B44-Inputs!$B26</f>
        <v>89762.3</v>
      </c>
      <c r="C10" s="29">
        <f>Inputs!$B$12*Inputs!$B$116+Inputs!$B$27-Inputs!$B$45+Inputs!$B$47-Inputs!$B$28</f>
        <v>47038.799999999996</v>
      </c>
      <c r="D10" s="10">
        <f>'Operating Budget'!G18+Inputs!$B$74</f>
        <v>7773.2999999999993</v>
      </c>
      <c r="E10" s="10">
        <f>'Operating Budget'!H18+Inputs!$B$75-Inputs!$B$21</f>
        <v>18119.899999999998</v>
      </c>
      <c r="F10" s="10">
        <f>Inputs!$B$13+Inputs!$B$14+Inputs!$B$15</f>
        <v>12739</v>
      </c>
      <c r="G10" s="10">
        <f>Inputs!$B$16</f>
        <v>1680</v>
      </c>
      <c r="H10" s="9">
        <f>J4</f>
        <v>338</v>
      </c>
      <c r="I10" s="10">
        <f>Inputs!$B$18</f>
        <v>-419</v>
      </c>
      <c r="J10" s="9">
        <f>M4</f>
        <v>1423</v>
      </c>
      <c r="K10" s="9">
        <f>B10-C10-D10-E10-F10+G10-H10+I10-J10</f>
        <v>3591.3000000000138</v>
      </c>
      <c r="L10" s="10">
        <f>Inputs!$B$22+Inputs!$B$23</f>
        <v>12000</v>
      </c>
      <c r="M10" s="10">
        <f>Inputs!$B$25</f>
        <v>200</v>
      </c>
      <c r="N10" s="10">
        <f>ROUNDUP(MAX(0,Inputs!$B$42-(Inputs!$B$43+K10-L10-Inputs!$B$24-M10)), -2)</f>
        <v>0</v>
      </c>
      <c r="O10" s="10">
        <f>Inputs!$B$43+K10-L10-Inputs!$B$24-M10+N10</f>
        <v>7530.3000000000138</v>
      </c>
    </row>
    <row r="11" spans="1:15" x14ac:dyDescent="0.3">
      <c r="A11" s="18">
        <v>2026</v>
      </c>
      <c r="B11" s="10">
        <f>B5+Inputs!$B26-Inputs!$C26</f>
        <v>95003.4</v>
      </c>
      <c r="C11" s="29">
        <f>Inputs!$C$12*Inputs!$C$116+Inputs!$C$27-Inputs!$B$27+Inputs!$B$28-Inputs!$C$28</f>
        <v>46761.4</v>
      </c>
      <c r="D11" s="10">
        <f>'Operating Budget'!G19+Inputs!$C$74</f>
        <v>7791.9000000000015</v>
      </c>
      <c r="E11" s="10">
        <f>'Operating Budget'!H19+Inputs!$C$75-Inputs!$C$21</f>
        <v>17275.7</v>
      </c>
      <c r="F11" s="10">
        <f>Inputs!$C$13+Inputs!$C$14+Inputs!$C$15</f>
        <v>14066</v>
      </c>
      <c r="G11" s="10">
        <f>Inputs!$C$16</f>
        <v>1200</v>
      </c>
      <c r="H11" s="9">
        <f>J5</f>
        <v>300</v>
      </c>
      <c r="I11" s="10">
        <f>Inputs!$C$18</f>
        <v>0</v>
      </c>
      <c r="J11" s="9">
        <f>M5</f>
        <v>826.98</v>
      </c>
      <c r="K11" s="9">
        <f>B11-C11-D11-E11-F11+G11-H11+I11-J11</f>
        <v>9181.419999999991</v>
      </c>
      <c r="L11" s="10">
        <f>Inputs!$C$22+Inputs!$C$23</f>
        <v>20000</v>
      </c>
      <c r="M11" s="10">
        <f>Inputs!$C$25</f>
        <v>200</v>
      </c>
      <c r="N11" s="10">
        <f>ROUNDUP(MAX(0,Inputs!$B$42-(O10+K11-L11-Inputs!$C$24-M11)), -2)</f>
        <v>7000</v>
      </c>
      <c r="O11" s="10">
        <f>O10+K11-L11-Inputs!$C$24-M11+N11</f>
        <v>3511.7200000000048</v>
      </c>
    </row>
    <row r="12" spans="1:15" x14ac:dyDescent="0.3">
      <c r="A12" s="18">
        <v>2027</v>
      </c>
      <c r="B12" s="10">
        <f>B6+Inputs!$C26-Inputs!$D26</f>
        <v>99298.900000000009</v>
      </c>
      <c r="C12" s="29">
        <f>Inputs!$D$12*Inputs!$D$116+Inputs!$D$27-Inputs!$C$27+Inputs!$C$28-Inputs!$D$28</f>
        <v>49087</v>
      </c>
      <c r="D12" s="10">
        <f>'Operating Budget'!G20+Inputs!$D$74</f>
        <v>8181.4999999999991</v>
      </c>
      <c r="E12" s="10">
        <f>'Operating Budget'!H20+Inputs!$D$75-Inputs!$D$21</f>
        <v>17744.5</v>
      </c>
      <c r="F12" s="10">
        <f>Inputs!$D$13+Inputs!$D$14+Inputs!$D$15</f>
        <v>14350</v>
      </c>
      <c r="G12" s="10">
        <f>Inputs!$D$16</f>
        <v>1250</v>
      </c>
      <c r="H12" s="9">
        <f>J6</f>
        <v>650</v>
      </c>
      <c r="I12" s="10">
        <f>Inputs!$D$18</f>
        <v>0</v>
      </c>
      <c r="J12" s="9">
        <f>M6</f>
        <v>883.89</v>
      </c>
      <c r="K12" s="9">
        <f>B12-C12-D12-E12-F12+G12-H12+I12-J12</f>
        <v>9652.0100000000093</v>
      </c>
      <c r="L12" s="10">
        <f>Inputs!$D$22+Inputs!$D$23</f>
        <v>10500</v>
      </c>
      <c r="M12" s="10">
        <f>Inputs!$D$25</f>
        <v>200</v>
      </c>
      <c r="N12" s="10">
        <f>ROUNDUP(MAX(0,Inputs!$B$42-(O11+K12-L12-Inputs!$D$24-M12)), -2)</f>
        <v>1100</v>
      </c>
      <c r="O12" s="10">
        <f>O11+K12-L12-Inputs!$D$24-M12+N12</f>
        <v>3563.7300000000141</v>
      </c>
    </row>
    <row r="13" spans="1:15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3">
      <c r="A15" s="18" t="s">
        <v>210</v>
      </c>
      <c r="B15" s="7" t="s">
        <v>353</v>
      </c>
      <c r="C15" s="7" t="s">
        <v>54</v>
      </c>
      <c r="D15" s="7" t="s">
        <v>56</v>
      </c>
      <c r="E15" s="7" t="s">
        <v>354</v>
      </c>
      <c r="F15" s="7" t="s">
        <v>60</v>
      </c>
      <c r="G15" s="7" t="s">
        <v>355</v>
      </c>
      <c r="H15" s="7" t="s">
        <v>58</v>
      </c>
      <c r="I15" s="7" t="s">
        <v>356</v>
      </c>
      <c r="J15" s="7" t="s">
        <v>357</v>
      </c>
      <c r="K15" s="7" t="s">
        <v>358</v>
      </c>
      <c r="L15" s="7" t="s">
        <v>359</v>
      </c>
      <c r="M15" s="7" t="s">
        <v>360</v>
      </c>
      <c r="N15" s="1"/>
      <c r="O15" s="1"/>
    </row>
    <row r="16" spans="1:15" x14ac:dyDescent="0.3">
      <c r="A16" s="18">
        <v>2025</v>
      </c>
      <c r="B16" s="9">
        <f>O10</f>
        <v>7530.3000000000138</v>
      </c>
      <c r="C16" s="10">
        <f>Inputs!$B$26</f>
        <v>9482.7000000000007</v>
      </c>
      <c r="D16" s="10">
        <f>Inputs!$B$27</f>
        <v>12392</v>
      </c>
      <c r="E16" s="10">
        <f>Inputs!$B$46+L10-Inputs!$B$21</f>
        <v>42636</v>
      </c>
      <c r="F16" s="10">
        <f>Inputs!$B$29</f>
        <v>53660</v>
      </c>
      <c r="G16" s="9">
        <f>SUM(B16:F16)</f>
        <v>125701.00000000001</v>
      </c>
      <c r="H16" s="10">
        <f>Inputs!$B$28</f>
        <v>12450</v>
      </c>
      <c r="I16" s="10">
        <f>Inputs!$B$48-M10+N10</f>
        <v>8013</v>
      </c>
      <c r="J16" s="10">
        <f>Inputs!$B$49</f>
        <v>27703</v>
      </c>
      <c r="K16" s="10">
        <f>Inputs!$B$50+N4-Inputs!$B$24</f>
        <v>77535</v>
      </c>
      <c r="L16" s="9">
        <f>SUM(H16:K16)</f>
        <v>125701</v>
      </c>
      <c r="M16" s="9">
        <f>G16-L16</f>
        <v>0</v>
      </c>
      <c r="N16" s="1"/>
      <c r="O16" s="1"/>
    </row>
    <row r="17" spans="1:15" x14ac:dyDescent="0.3">
      <c r="A17" s="21">
        <v>2026</v>
      </c>
      <c r="B17" s="11">
        <f>O11</f>
        <v>3511.7200000000048</v>
      </c>
      <c r="C17" s="11">
        <f>Inputs!$C$26</f>
        <v>9502.2999999999993</v>
      </c>
      <c r="D17" s="11">
        <f>Inputs!$C$27</f>
        <v>12802</v>
      </c>
      <c r="E17" s="11">
        <f>E16+L11-Inputs!$C$21</f>
        <v>56536</v>
      </c>
      <c r="F17" s="11">
        <f>Inputs!$C$29</f>
        <v>53660</v>
      </c>
      <c r="G17" s="11">
        <f>SUM(B17:F17)</f>
        <v>136012.02000000002</v>
      </c>
      <c r="H17" s="11">
        <f>Inputs!$C$28</f>
        <v>12850</v>
      </c>
      <c r="I17" s="11">
        <f>I16-M11+N11</f>
        <v>14813</v>
      </c>
      <c r="J17" s="11">
        <f>Inputs!$B$49</f>
        <v>27703</v>
      </c>
      <c r="K17" s="11">
        <f>K16+N5-Inputs!$C$24</f>
        <v>80646.02</v>
      </c>
      <c r="L17" s="11">
        <f>SUM(H17:K17)</f>
        <v>136012.02000000002</v>
      </c>
      <c r="M17" s="11">
        <f>G17-L17</f>
        <v>0</v>
      </c>
      <c r="N17" s="1"/>
      <c r="O17" s="1"/>
    </row>
    <row r="18" spans="1:15" x14ac:dyDescent="0.3">
      <c r="A18" s="18">
        <v>2027</v>
      </c>
      <c r="B18" s="9">
        <f>O12</f>
        <v>3563.7300000000141</v>
      </c>
      <c r="C18" s="10">
        <f>Inputs!$D$26</f>
        <v>9977.4</v>
      </c>
      <c r="D18" s="10">
        <f>Inputs!$D$27</f>
        <v>13200</v>
      </c>
      <c r="E18" s="10">
        <f>E17+L12-Inputs!$D$21</f>
        <v>60236</v>
      </c>
      <c r="F18" s="10">
        <f>Inputs!$D$29</f>
        <v>53660</v>
      </c>
      <c r="G18" s="9">
        <f>SUM(B18:F18)</f>
        <v>140637.13</v>
      </c>
      <c r="H18" s="10">
        <f>Inputs!$D$28</f>
        <v>13250</v>
      </c>
      <c r="I18" s="9">
        <f>I17-M12+N12</f>
        <v>15713</v>
      </c>
      <c r="J18" s="10">
        <f>Inputs!$B$49</f>
        <v>27703</v>
      </c>
      <c r="K18" s="10">
        <f>K17+N6-Inputs!$D$24</f>
        <v>83971.13</v>
      </c>
      <c r="L18" s="9">
        <f>SUM(H18:K18)</f>
        <v>140637.13</v>
      </c>
      <c r="M18" s="9">
        <f>G18-L18</f>
        <v>0</v>
      </c>
      <c r="N18" s="1"/>
      <c r="O18" s="1"/>
    </row>
    <row r="19" spans="1:1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6" t="s">
        <v>361</v>
      </c>
      <c r="B21" s="6" t="s">
        <v>253</v>
      </c>
      <c r="C21" s="6" t="s">
        <v>362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">
      <c r="A22" s="7" t="s">
        <v>363</v>
      </c>
      <c r="B22" s="26">
        <f>IF(ABS(L4-M4-N4)&lt;0.01,0,L4-M4-N4)</f>
        <v>0</v>
      </c>
      <c r="C22" s="26" t="str">
        <f t="shared" ref="C22:C27" si="0">IF(ABS(B22)&lt;0.01,"PASS","CHECK")</f>
        <v>PASS</v>
      </c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3">
      <c r="A23" s="7" t="s">
        <v>364</v>
      </c>
      <c r="B23" s="27">
        <f>IF(ABS('Capital Appraisal'!B14-'Capital Appraisal'!N10)&lt;0.01,0,'Capital Appraisal'!B14-'Capital Appraisal'!N10)</f>
        <v>0</v>
      </c>
      <c r="C23" s="26" t="str">
        <f t="shared" si="0"/>
        <v>PASS</v>
      </c>
      <c r="D23" s="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">
      <c r="A24" s="7" t="s">
        <v>365</v>
      </c>
      <c r="B24" s="26">
        <f>IF(ABS(SUM(ABS(M16),ABS(M17),ABS(M18)))&lt;0.01,0,SUM(ABS(M16),ABS(M17),ABS(M18)))</f>
        <v>0</v>
      </c>
      <c r="C24" s="26" t="str">
        <f t="shared" si="0"/>
        <v>PASS</v>
      </c>
      <c r="D24" s="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8.8" customHeight="1" x14ac:dyDescent="0.3">
      <c r="A25" s="6" t="s">
        <v>366</v>
      </c>
      <c r="B25" s="28">
        <f>IF(ABS(SUM(B4:B6)-SUM(Inputs!B6:D6))&lt;0.01,0,SUM(B4:B6)-SUM(Inputs!B6:D6))</f>
        <v>0</v>
      </c>
      <c r="C25" s="28" t="str">
        <f t="shared" si="0"/>
        <v>PASS</v>
      </c>
      <c r="D25" s="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8.8" customHeight="1" x14ac:dyDescent="0.3">
      <c r="A26" s="7" t="s">
        <v>367</v>
      </c>
      <c r="B26" s="27">
        <f>IF(ABS(SUM(C4:C6)-SUM(Inputs!B12:D12))&lt;0.01,0,SUM(C4:C6)-SUM(Inputs!B12:D12))</f>
        <v>0</v>
      </c>
      <c r="C26" s="26" t="str">
        <f t="shared" si="0"/>
        <v>PASS</v>
      </c>
      <c r="D26" s="5"/>
    </row>
    <row r="27" spans="1:15" x14ac:dyDescent="0.3">
      <c r="A27" s="7" t="s">
        <v>368</v>
      </c>
      <c r="B27" s="27">
        <f>IF(ABS(L11-Inputs!$C$22-Inputs!$C$23)&lt;0.01,0,L11-Inputs!$C$22-Inputs!$C$23)</f>
        <v>0</v>
      </c>
      <c r="C27" s="26" t="str">
        <f t="shared" si="0"/>
        <v>PASS</v>
      </c>
      <c r="D27" s="5"/>
    </row>
    <row r="30" spans="1:15" x14ac:dyDescent="0.3">
      <c r="A30" s="6" t="s">
        <v>369</v>
      </c>
    </row>
    <row r="31" spans="1:15" x14ac:dyDescent="0.3">
      <c r="A31" s="6" t="s">
        <v>244</v>
      </c>
      <c r="B31" s="21">
        <v>2025</v>
      </c>
      <c r="C31" s="21">
        <v>2026</v>
      </c>
      <c r="D31" s="21">
        <v>2027</v>
      </c>
    </row>
    <row r="32" spans="1:15" x14ac:dyDescent="0.3">
      <c r="A32" s="7" t="s">
        <v>370</v>
      </c>
      <c r="B32" s="9">
        <f>N4</f>
        <v>3855</v>
      </c>
      <c r="C32" s="9">
        <f>N5</f>
        <v>3111.02</v>
      </c>
      <c r="D32" s="9">
        <f>N6</f>
        <v>3325.11</v>
      </c>
    </row>
    <row r="33" spans="1:5" x14ac:dyDescent="0.3">
      <c r="A33" s="7" t="s">
        <v>43</v>
      </c>
      <c r="B33" s="10">
        <f>Inputs!$B$21</f>
        <v>5200</v>
      </c>
      <c r="C33" s="10">
        <f>Inputs!$C$21</f>
        <v>6100</v>
      </c>
      <c r="D33" s="10">
        <f>Inputs!$D$21</f>
        <v>6800</v>
      </c>
    </row>
    <row r="34" spans="1:5" x14ac:dyDescent="0.3">
      <c r="A34" s="6" t="s">
        <v>371</v>
      </c>
      <c r="B34" s="11">
        <f>C16-Inputs!$B$44</f>
        <v>5064.7000000000007</v>
      </c>
      <c r="C34" s="11">
        <f>C17-C16</f>
        <v>19.599999999998545</v>
      </c>
      <c r="D34" s="11">
        <f>C18-C17</f>
        <v>475.10000000000036</v>
      </c>
    </row>
    <row r="35" spans="1:5" x14ac:dyDescent="0.3">
      <c r="A35" s="7" t="s">
        <v>372</v>
      </c>
      <c r="B35" s="10">
        <f>D16-Inputs!$B$45</f>
        <v>375</v>
      </c>
      <c r="C35" s="9">
        <f>D17-D16</f>
        <v>410</v>
      </c>
      <c r="D35" s="9">
        <f>D18-D17</f>
        <v>398</v>
      </c>
    </row>
    <row r="36" spans="1:5" x14ac:dyDescent="0.3">
      <c r="A36" s="7" t="s">
        <v>373</v>
      </c>
      <c r="B36" s="10">
        <f>H16-Inputs!$B$47</f>
        <v>-24</v>
      </c>
      <c r="C36" s="9">
        <f>H17-H16</f>
        <v>400</v>
      </c>
      <c r="D36" s="9">
        <f>H18-H17</f>
        <v>400</v>
      </c>
    </row>
    <row r="37" spans="1:5" x14ac:dyDescent="0.3">
      <c r="A37" s="7" t="s">
        <v>374</v>
      </c>
      <c r="B37" s="9">
        <f>B34+B35-B36</f>
        <v>5463.7000000000007</v>
      </c>
      <c r="C37" s="9">
        <f>C34+C35-C36</f>
        <v>29.599999999998545</v>
      </c>
      <c r="D37" s="9">
        <f>D34+D35-D36</f>
        <v>473.10000000000036</v>
      </c>
    </row>
    <row r="38" spans="1:5" x14ac:dyDescent="0.3">
      <c r="A38" s="7" t="s">
        <v>375</v>
      </c>
      <c r="B38" s="9">
        <f>B32+B33-B37</f>
        <v>3591.2999999999993</v>
      </c>
      <c r="C38" s="9">
        <f>C32+C33-C37</f>
        <v>9181.4200000000019</v>
      </c>
      <c r="D38" s="9">
        <f>D32+D33-D37</f>
        <v>9652.01</v>
      </c>
    </row>
    <row r="39" spans="1:5" x14ac:dyDescent="0.3">
      <c r="A39" s="7" t="s">
        <v>376</v>
      </c>
      <c r="B39" s="9">
        <f>L10</f>
        <v>12000</v>
      </c>
      <c r="C39" s="9">
        <f>L11</f>
        <v>20000</v>
      </c>
      <c r="D39" s="9">
        <f>L12</f>
        <v>10500</v>
      </c>
    </row>
    <row r="40" spans="1:5" x14ac:dyDescent="0.3">
      <c r="A40" s="7" t="s">
        <v>52</v>
      </c>
      <c r="B40" s="9">
        <f>M10</f>
        <v>200</v>
      </c>
      <c r="C40" s="9">
        <f>M11</f>
        <v>200</v>
      </c>
      <c r="D40" s="9">
        <f>M12</f>
        <v>200</v>
      </c>
    </row>
    <row r="41" spans="1:5" x14ac:dyDescent="0.3">
      <c r="A41" s="7" t="s">
        <v>351</v>
      </c>
      <c r="B41" s="9">
        <f>N10</f>
        <v>0</v>
      </c>
      <c r="C41" s="9">
        <f>N11</f>
        <v>7000</v>
      </c>
      <c r="D41" s="9">
        <f>N12</f>
        <v>1100</v>
      </c>
    </row>
    <row r="42" spans="1:5" x14ac:dyDescent="0.3">
      <c r="A42" s="7" t="s">
        <v>49</v>
      </c>
      <c r="B42" s="10">
        <f>Inputs!$B$24</f>
        <v>0</v>
      </c>
      <c r="C42" s="10">
        <f>Inputs!$C$24</f>
        <v>0</v>
      </c>
      <c r="D42" s="10">
        <f>Inputs!$D$24</f>
        <v>0</v>
      </c>
    </row>
    <row r="43" spans="1:5" x14ac:dyDescent="0.3">
      <c r="A43" s="7" t="s">
        <v>377</v>
      </c>
      <c r="B43" s="9">
        <f>B38-B39-B40+B41-B42</f>
        <v>-8608.7000000000007</v>
      </c>
      <c r="C43" s="9">
        <f>C38-C39-C40+C41-C42</f>
        <v>-4018.5799999999981</v>
      </c>
      <c r="D43" s="9">
        <f>D38-D39-D40+D41-D42</f>
        <v>52.010000000000218</v>
      </c>
    </row>
    <row r="44" spans="1:5" x14ac:dyDescent="0.3">
      <c r="A44" s="7" t="s">
        <v>77</v>
      </c>
      <c r="B44" s="10">
        <f>Inputs!$B$43</f>
        <v>16139</v>
      </c>
      <c r="C44" s="9">
        <f>B45</f>
        <v>7530.2999999999993</v>
      </c>
      <c r="D44" s="9">
        <f>C45</f>
        <v>3511.7200000000012</v>
      </c>
    </row>
    <row r="45" spans="1:5" x14ac:dyDescent="0.3">
      <c r="A45" s="7" t="s">
        <v>378</v>
      </c>
      <c r="B45" s="9">
        <f>B44+B43</f>
        <v>7530.2999999999993</v>
      </c>
      <c r="C45" s="9">
        <f>C44+C43</f>
        <v>3511.7200000000012</v>
      </c>
      <c r="D45" s="9">
        <f>D44+D43</f>
        <v>3563.7300000000014</v>
      </c>
    </row>
    <row r="46" spans="1:5" x14ac:dyDescent="0.3">
      <c r="A46" s="7" t="s">
        <v>379</v>
      </c>
      <c r="B46" s="9">
        <f>C16+D16-H16</f>
        <v>9424.7000000000007</v>
      </c>
      <c r="C46" s="9">
        <f>C17+D17-H17</f>
        <v>9454.2999999999993</v>
      </c>
      <c r="D46" s="9">
        <f>C18+D18-H18</f>
        <v>9927.4000000000015</v>
      </c>
    </row>
    <row r="48" spans="1:5" x14ac:dyDescent="0.3">
      <c r="A48" s="6" t="s">
        <v>380</v>
      </c>
      <c r="B48" s="21">
        <v>2025</v>
      </c>
      <c r="C48" s="21">
        <v>2026</v>
      </c>
      <c r="D48" s="21">
        <v>2027</v>
      </c>
      <c r="E48" s="6" t="s">
        <v>362</v>
      </c>
    </row>
    <row r="49" spans="1:5" x14ac:dyDescent="0.3">
      <c r="A49" s="7" t="s">
        <v>381</v>
      </c>
      <c r="B49" s="26">
        <f>K10-B38</f>
        <v>1.4551915228366852E-11</v>
      </c>
      <c r="C49" s="26">
        <f>K11-C38</f>
        <v>0</v>
      </c>
      <c r="D49" s="26">
        <f>K12-D38</f>
        <v>0</v>
      </c>
      <c r="E49" s="9" t="str">
        <f>IF(SUM(ABS(B49),ABS(C49),ABS(D49))&lt;0.01,"PASS","CHECK")</f>
        <v>PASS</v>
      </c>
    </row>
    <row r="50" spans="1:5" x14ac:dyDescent="0.3">
      <c r="A50" s="7" t="s">
        <v>382</v>
      </c>
      <c r="B50" s="26">
        <f>O10-B45</f>
        <v>1.4551915228366852E-11</v>
      </c>
      <c r="C50" s="26">
        <f>O11-C45</f>
        <v>3.637978807091713E-12</v>
      </c>
      <c r="D50" s="26">
        <f>O12-D45</f>
        <v>1.2732925824820995E-11</v>
      </c>
      <c r="E50" s="9" t="str">
        <f>IF(SUM(ABS(B50),ABS(C50),ABS(D50))&lt;0.01,"PASS","CHECK")</f>
        <v>PASS</v>
      </c>
    </row>
    <row r="51" spans="1:5" x14ac:dyDescent="0.3">
      <c r="A51" s="7" t="s">
        <v>383</v>
      </c>
      <c r="B51" s="26">
        <f>B16-B45</f>
        <v>1.4551915228366852E-11</v>
      </c>
      <c r="C51" s="26">
        <f>B17-C45</f>
        <v>3.637978807091713E-12</v>
      </c>
      <c r="D51" s="26">
        <f>B18-D45</f>
        <v>1.2732925824820995E-11</v>
      </c>
      <c r="E51" s="9" t="str">
        <f>IF(SUM(ABS(B51),ABS(C51),ABS(D51))&lt;0.01,"PASS","CHECK")</f>
        <v>PASS</v>
      </c>
    </row>
    <row r="53" spans="1:5" x14ac:dyDescent="0.3">
      <c r="A53" s="6" t="s">
        <v>384</v>
      </c>
      <c r="B53" s="21">
        <v>2025</v>
      </c>
      <c r="C53" s="21">
        <v>2026</v>
      </c>
      <c r="D53" s="21">
        <v>2027</v>
      </c>
      <c r="E53" s="6" t="s">
        <v>362</v>
      </c>
    </row>
    <row r="54" spans="1:5" x14ac:dyDescent="0.3">
      <c r="A54" s="7" t="s">
        <v>385</v>
      </c>
      <c r="B54" s="27">
        <f>IF(ABS(B4-Inputs!$B$6)&lt;0.01,0,B4-Inputs!$B$6)</f>
        <v>0</v>
      </c>
      <c r="C54" s="27">
        <f>IF(ABS(B5-Inputs!$C$6)&lt;0.01,0,B5-Inputs!$C$6)</f>
        <v>0</v>
      </c>
      <c r="D54" s="27">
        <f>IF(ABS(B6-Inputs!$D$6)&lt;0.01,0,B6-Inputs!$D$6)</f>
        <v>0</v>
      </c>
      <c r="E54" s="9" t="str">
        <f>IF(SUM(ABS(B54),ABS(C54),ABS(D54))&lt;0.01,"PASS","CHECK")</f>
        <v>PASS</v>
      </c>
    </row>
    <row r="55" spans="1:5" x14ac:dyDescent="0.3">
      <c r="A55" s="7" t="s">
        <v>386</v>
      </c>
      <c r="B55" s="27">
        <f>IF(ABS(C4-Inputs!$B$12)&lt;0.01,0,C4-Inputs!$B$12)</f>
        <v>0</v>
      </c>
      <c r="C55" s="27">
        <f>IF(ABS(C5-Inputs!$C$12)&lt;0.01,0,C5-Inputs!$C$12)</f>
        <v>0</v>
      </c>
      <c r="D55" s="27">
        <f>IF(ABS(C6-Inputs!$D$12)&lt;0.01,0,C6-Inputs!$D$12)</f>
        <v>0</v>
      </c>
      <c r="E55" s="9" t="str">
        <f>IF(SUM(ABS(B55),ABS(C55),ABS(D55))&lt;0.01,"PASS","CHECK")</f>
        <v>PASS</v>
      </c>
    </row>
    <row r="56" spans="1:5" x14ac:dyDescent="0.3">
      <c r="A56" s="7" t="s">
        <v>387</v>
      </c>
      <c r="B56" s="26">
        <f>IF(ABS(M16)&lt;0.01,0,M16)</f>
        <v>0</v>
      </c>
      <c r="C56" s="26">
        <f>IF(ABS(M17)&lt;0.01,0,M17)</f>
        <v>0</v>
      </c>
      <c r="D56" s="26">
        <f>IF(ABS(M18)&lt;0.01,0,M18)</f>
        <v>0</v>
      </c>
      <c r="E56" s="9" t="str">
        <f>IF(SUM(ABS(B56),ABS(C56),ABS(D56))&lt;0.01,"PASS","CHECK")</f>
        <v>PASS</v>
      </c>
    </row>
  </sheetData>
  <conditionalFormatting sqref="C22:C27">
    <cfRule type="cellIs" dxfId="5" priority="1" operator="equal">
      <formula>"PASS"</formula>
    </cfRule>
    <cfRule type="cellIs" dxfId="4" priority="2" operator="equal">
      <formula>"CHECK"</formula>
    </cfRule>
  </conditionalFormatting>
  <conditionalFormatting sqref="E49:E51">
    <cfRule type="cellIs" dxfId="3" priority="9" operator="equal">
      <formula>"PASS"</formula>
    </cfRule>
    <cfRule type="cellIs" dxfId="2" priority="9" operator="equal">
      <formula>"CHECK"</formula>
    </cfRule>
  </conditionalFormatting>
  <conditionalFormatting sqref="E54:E56">
    <cfRule type="cellIs" dxfId="1" priority="11" operator="equal">
      <formula>"PASS"</formula>
    </cfRule>
    <cfRule type="cellIs" dxfId="0" priority="11" operator="equal">
      <formula>"CHECK"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Inputs</vt:lpstr>
      <vt:lpstr>Operating Budget</vt:lpstr>
      <vt:lpstr>Variance Analysis</vt:lpstr>
      <vt:lpstr>Capital Appraisal</vt:lpstr>
      <vt:lpstr>Statements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Elshimi, Noor M</cp:lastModifiedBy>
  <dcterms:created xsi:type="dcterms:W3CDTF">2026-06-25T08:51:04Z</dcterms:created>
  <dcterms:modified xsi:type="dcterms:W3CDTF">2026-06-26T12:34:21Z</dcterms:modified>
</cp:coreProperties>
</file>